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840" windowHeight="15120" tabRatio="944" activeTab="2"/>
  </bookViews>
  <sheets>
    <sheet name="Entrants" sheetId="1" r:id="rId1"/>
    <sheet name="Data sheet" sheetId="2" r:id="rId2"/>
    <sheet name="Summary" sheetId="3" r:id="rId3"/>
    <sheet name="Race 1" sheetId="4" r:id="rId4"/>
    <sheet name="Race 2" sheetId="5" r:id="rId5"/>
    <sheet name="Race 3" sheetId="6" r:id="rId6"/>
    <sheet name="Race 4" sheetId="7" r:id="rId7"/>
    <sheet name="Race 5" sheetId="8" r:id="rId8"/>
    <sheet name="Race 6" sheetId="9" r:id="rId9"/>
    <sheet name="Race 7" sheetId="10" r:id="rId10"/>
    <sheet name="Race 8" sheetId="11" r:id="rId11"/>
    <sheet name="Race 9" sheetId="12" r:id="rId12"/>
    <sheet name="Race 10" sheetId="13" r:id="rId13"/>
  </sheets>
  <definedNames>
    <definedName name="Champ_Heats">'Summary'!$C$3:$P$19</definedName>
    <definedName name="Champ_Score">'Summary'!$T$3:$T$20</definedName>
    <definedName name="Champ1">'Summary'!$C$3:$P$3</definedName>
    <definedName name="Champ10">'Summary'!$C$12:$P$12</definedName>
    <definedName name="Champ11">'Summary'!$C$13:$P$13</definedName>
    <definedName name="Champ12">'Summary'!$C$14:$P$14</definedName>
    <definedName name="Champ13">'Summary'!$C$15:$P$15</definedName>
    <definedName name="Champ14">'Summary'!$C$16:$P$16</definedName>
    <definedName name="Champ15">'Summary'!$C$17:$P$17</definedName>
    <definedName name="Champ16">'Summary'!$C$18:$P$18</definedName>
    <definedName name="Champ17">'Summary'!$C$19:$P$19</definedName>
    <definedName name="Champ18">'Summary'!$C$20:$P$20</definedName>
    <definedName name="Champ19">'Summary'!#REF!</definedName>
    <definedName name="Champ2">'Summary'!$C$4:$P$4</definedName>
    <definedName name="Champ20">'Summary'!#REF!</definedName>
    <definedName name="Champ21">'Summary'!#REF!</definedName>
    <definedName name="Champ22">'Summary'!#REF!</definedName>
    <definedName name="Champ23">'Summary'!#REF!</definedName>
    <definedName name="Champ24">'Summary'!#REF!</definedName>
    <definedName name="Champ25">'Summary'!#REF!</definedName>
    <definedName name="Champ26">'Summary'!#REF!</definedName>
    <definedName name="Champ27">'Summary'!#REF!</definedName>
    <definedName name="Champ28">'Summary'!#REF!</definedName>
    <definedName name="Champ29">'Summary'!#REF!</definedName>
    <definedName name="Champ3">'Summary'!$C$5:$P$5</definedName>
    <definedName name="Champ30">'Summary'!#REF!</definedName>
    <definedName name="Champ4">'Summary'!$C$6:$P$6</definedName>
    <definedName name="Champ5">'Summary'!$C$7:$P$7</definedName>
    <definedName name="Champ6">'Summary'!$C$8:$P$8</definedName>
    <definedName name="Champ7">'Summary'!$C$9:$P$9</definedName>
    <definedName name="Champ8">'Summary'!$C$10:$P$10</definedName>
    <definedName name="Champ9">'Summary'!$C$11:$P$11</definedName>
    <definedName name="HCap_Heats">'Summary'!$C$24:$P$40</definedName>
    <definedName name="HCap_Score">'Summary'!$T$24:$T$41</definedName>
    <definedName name="HCap1">'Summary'!$C$24:$P$24</definedName>
    <definedName name="HCap10">'Summary'!$C$33:$P$33</definedName>
    <definedName name="HCap11">'Summary'!$C$34:$P$34</definedName>
    <definedName name="HCap12">'Summary'!$C$35:$P$35</definedName>
    <definedName name="HCap13">'Summary'!$C$36:$P$36</definedName>
    <definedName name="HCap14">'Summary'!$C$37:$P$37</definedName>
    <definedName name="HCap15">'Summary'!$C$38:$P$38</definedName>
    <definedName name="HCap16">'Summary'!$C$39:$P$39</definedName>
    <definedName name="HCap17">'Summary'!$C$40:$P$40</definedName>
    <definedName name="HCap18">'Summary'!$C$41:$P$41</definedName>
    <definedName name="HCap19">'Summary'!#REF!</definedName>
    <definedName name="HCap2">'Summary'!$C$25:$P$25</definedName>
    <definedName name="HCap20">'Summary'!#REF!</definedName>
    <definedName name="HCap21">'Summary'!#REF!</definedName>
    <definedName name="HCap22">'Summary'!#REF!</definedName>
    <definedName name="HCap23">'Summary'!#REF!</definedName>
    <definedName name="HCap24">'Summary'!#REF!</definedName>
    <definedName name="HCap25">'Summary'!#REF!</definedName>
    <definedName name="HCap26">'Summary'!#REF!</definedName>
    <definedName name="HCap27">'Summary'!#REF!</definedName>
    <definedName name="HCap28">'Summary'!#REF!</definedName>
    <definedName name="HCap29">'Summary'!#REF!</definedName>
    <definedName name="HCap3">'Summary'!$C$26:$P$26</definedName>
    <definedName name="HCap30">'Summary'!#REF!</definedName>
    <definedName name="HCap4">'Summary'!$C$27:$P$27</definedName>
    <definedName name="HCap5">'Summary'!$C$28:$P$28</definedName>
    <definedName name="HCap6">'Summary'!$C$29:$P$29</definedName>
    <definedName name="HCap7">'Summary'!$C$30:$P$30</definedName>
    <definedName name="HCap8">'Summary'!$C$31:$P$31</definedName>
    <definedName name="HCap9">'Summary'!$C$32:$P$32</definedName>
    <definedName name="_xlnm.Print_Area" localSheetId="0">'Entrants'!$A$1:$M$12</definedName>
    <definedName name="_xlnm.Print_Area" localSheetId="3">'Race 1'!$B$1:$O$33</definedName>
    <definedName name="_xlnm.Print_Area" localSheetId="12">'Race 10'!$B$1:$S$33</definedName>
    <definedName name="_xlnm.Print_Area" localSheetId="4">'Race 2'!$B$1:$O$32</definedName>
    <definedName name="_xlnm.Print_Area" localSheetId="5">'Race 3'!$B$1:$O$33</definedName>
    <definedName name="_xlnm.Print_Area" localSheetId="6">'Race 4'!$B$1:$O$33</definedName>
    <definedName name="_xlnm.Print_Area" localSheetId="7">'Race 5'!$B$1:$O$33</definedName>
    <definedName name="_xlnm.Print_Area" localSheetId="8">'Race 6'!$B$1:$P$32</definedName>
    <definedName name="_xlnm.Print_Area" localSheetId="9">'Race 7'!$B$1:$P$32</definedName>
    <definedName name="_xlnm.Print_Area" localSheetId="10">'Race 8'!$B$1:$P$32</definedName>
    <definedName name="_xlnm.Print_Area" localSheetId="11">'Race 9'!$B$1:$O$32</definedName>
    <definedName name="_xlnm.Print_Area" localSheetId="2">'Summary'!$A$1:$U$40</definedName>
    <definedName name="race_codes" localSheetId="12">'Race 10'!$M$32:$O$32</definedName>
    <definedName name="race_codes" localSheetId="4">'Race 2'!$M$32:$O$32</definedName>
    <definedName name="race_codes" localSheetId="5">'Race 3'!$M$32:$O$32</definedName>
    <definedName name="race_codes" localSheetId="6">'Race 4'!$M$32:$O$32</definedName>
    <definedName name="race_codes" localSheetId="7">'Race 5'!$M$32:$O$32</definedName>
    <definedName name="race_codes" localSheetId="8">'Race 6'!$M$32:$O$32</definedName>
    <definedName name="race_codes" localSheetId="9">'Race 7'!$M$32:$O$32</definedName>
    <definedName name="race_codes" localSheetId="10">'Race 8'!$M$32:$O$32</definedName>
    <definedName name="race_codes" localSheetId="11">'Race 9'!$M$32:$O$32</definedName>
    <definedName name="race_codes">'Race 1'!$M$32:$O$32</definedName>
  </definedNames>
  <calcPr fullCalcOnLoad="1"/>
</workbook>
</file>

<file path=xl/comments10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11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12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13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2.xml><?xml version="1.0" encoding="utf-8"?>
<comments xmlns="http://schemas.openxmlformats.org/spreadsheetml/2006/main">
  <authors>
    <author>Paul Mulvaney</author>
  </authors>
  <commentList>
    <comment ref="C30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Automatically counts the number of Entries plus 1</t>
        </r>
      </text>
    </comment>
    <comment ref="C31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Automatically counts the number of Entries plus 2</t>
        </r>
      </text>
    </comment>
    <comment ref="C32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Varies with the number of Starters. Automatically calculated for each Heat</t>
        </r>
      </text>
    </comment>
  </commentList>
</comments>
</file>

<file path=xl/comments4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sz val="8"/>
            <rFont val="Tahoma"/>
            <family val="0"/>
          </rPr>
          <t>Enter the difference between stopwatch time and the race time. If they are the same enter 0:00:00 here</t>
        </r>
      </text>
    </comment>
  </commentList>
</comments>
</file>

<file path=xl/comments5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6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7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8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comments9.xml><?xml version="1.0" encoding="utf-8"?>
<comments xmlns="http://schemas.openxmlformats.org/spreadsheetml/2006/main">
  <authors>
    <author>Paul Mulvaney</author>
  </authors>
  <commentList>
    <comment ref="I4" authorId="0">
      <text>
        <r>
          <rPr>
            <b/>
            <sz val="8"/>
            <rFont val="Tahoma"/>
            <family val="0"/>
          </rPr>
          <t>Paul Mulvaney:</t>
        </r>
        <r>
          <rPr>
            <sz val="8"/>
            <rFont val="Tahoma"/>
            <family val="0"/>
          </rPr>
          <t xml:space="preserve">
Enter the difference between stopwatch time and the race time. If they are the same enter 0:00:00 here</t>
        </r>
      </text>
    </comment>
  </commentList>
</comments>
</file>

<file path=xl/sharedStrings.xml><?xml version="1.0" encoding="utf-8"?>
<sst xmlns="http://schemas.openxmlformats.org/spreadsheetml/2006/main" count="981" uniqueCount="156">
  <si>
    <t>hcp in decimal corrected to 0</t>
  </si>
  <si>
    <t>Nationals Scratch Results</t>
  </si>
  <si>
    <t>Handicap at the start of last nats</t>
  </si>
  <si>
    <t>dns</t>
  </si>
  <si>
    <t>Race 6</t>
  </si>
  <si>
    <t>Hcp at end of series</t>
  </si>
  <si>
    <t>Average</t>
  </si>
  <si>
    <t>+0 mins</t>
  </si>
  <si>
    <t>8-14 knots</t>
  </si>
  <si>
    <t>NE</t>
  </si>
  <si>
    <t>12-18 knots</t>
  </si>
  <si>
    <t>NE</t>
  </si>
  <si>
    <t>Ave of TT races</t>
  </si>
  <si>
    <t>3rd on hcp</t>
  </si>
  <si>
    <t>Winner countback</t>
  </si>
  <si>
    <t>9th</t>
  </si>
  <si>
    <t>5th</t>
  </si>
  <si>
    <t>10th</t>
  </si>
  <si>
    <t>7th</t>
  </si>
  <si>
    <t>Last years invitation hcp</t>
  </si>
  <si>
    <t>Tuning boat</t>
  </si>
  <si>
    <t>New sheethand</t>
  </si>
  <si>
    <t>Scratch delta</t>
  </si>
  <si>
    <t>Won. new gear</t>
  </si>
  <si>
    <t>dns</t>
  </si>
  <si>
    <t>Devocean</t>
  </si>
  <si>
    <t>Planet Beer</t>
  </si>
  <si>
    <t>SFC Computers</t>
  </si>
  <si>
    <t>Stowe</t>
  </si>
  <si>
    <t>Narwahl</t>
  </si>
  <si>
    <t>Race 1</t>
  </si>
  <si>
    <t>Race 2</t>
  </si>
  <si>
    <t>Race 3</t>
  </si>
  <si>
    <t>Race 5</t>
  </si>
  <si>
    <t>Race 6</t>
  </si>
  <si>
    <t>Race 7</t>
  </si>
  <si>
    <t>Race 8</t>
  </si>
  <si>
    <t>Race 9</t>
  </si>
  <si>
    <t>Race 10</t>
  </si>
  <si>
    <t>Race 4</t>
  </si>
  <si>
    <t>Race 5</t>
  </si>
  <si>
    <t>Race 7</t>
  </si>
  <si>
    <t>Suggested series Hcp</t>
  </si>
  <si>
    <t>Suggested Invitation hcp</t>
  </si>
  <si>
    <t>Invitation comments</t>
  </si>
  <si>
    <t>Measurement Solutions</t>
  </si>
  <si>
    <t>Purple Haze</t>
  </si>
  <si>
    <t>Raptor</t>
  </si>
  <si>
    <t>Under Pressure Too</t>
  </si>
  <si>
    <t>Battleship 2</t>
  </si>
  <si>
    <t>new gear</t>
  </si>
  <si>
    <t>new skipper</t>
  </si>
  <si>
    <t>Nationals Handicap Results</t>
  </si>
  <si>
    <t xml:space="preserve"> Dropped score 1</t>
  </si>
  <si>
    <t>Dropped score 2</t>
  </si>
  <si>
    <t>Halved for short heats</t>
  </si>
  <si>
    <t>Comments</t>
  </si>
  <si>
    <t>+0 min</t>
  </si>
  <si>
    <t>Troy Botting Shipwright</t>
  </si>
  <si>
    <t>Firestorm</t>
  </si>
  <si>
    <t>Course</t>
  </si>
  <si>
    <t>A boat starting 3 or more travellers heats will not have it's National's handicap disadvantaged by doing so.</t>
  </si>
  <si>
    <t>Boat Name</t>
  </si>
  <si>
    <t>Boat No</t>
  </si>
  <si>
    <t>Scratch
Rank</t>
  </si>
  <si>
    <t>DNS</t>
  </si>
  <si>
    <t>DSQ</t>
  </si>
  <si>
    <t>DNF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</si>
  <si>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</si>
  <si>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</si>
  <si>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</si>
  <si>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</si>
  <si>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</si>
  <si>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</si>
  <si>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</si>
  <si>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</si>
  <si>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Race 2</t>
  </si>
  <si>
    <t>Race 3</t>
  </si>
  <si>
    <t>Race 4</t>
  </si>
  <si>
    <t>Heat 9</t>
  </si>
  <si>
    <t>Heat 10</t>
  </si>
  <si>
    <t>Handicap</t>
  </si>
  <si>
    <t>Scratch
Time</t>
  </si>
  <si>
    <t>Race 7</t>
  </si>
  <si>
    <t>Race 8</t>
  </si>
  <si>
    <t>Race 10</t>
  </si>
  <si>
    <t>Race 9</t>
  </si>
  <si>
    <t>Heat
Points</t>
  </si>
  <si>
    <t>Handicap
Rank</t>
  </si>
  <si>
    <t>Handicap
Points</t>
  </si>
  <si>
    <t>Black Diamond</t>
  </si>
  <si>
    <t>6-10 knots</t>
  </si>
  <si>
    <t>6-10 knots</t>
  </si>
  <si>
    <t>Corrected
Time</t>
  </si>
  <si>
    <t>Low Score System</t>
  </si>
  <si>
    <t>Rank</t>
  </si>
  <si>
    <t>New Handicap</t>
  </si>
  <si>
    <t>SS</t>
  </si>
  <si>
    <t>Carry over HF</t>
  </si>
  <si>
    <t>Handicap Factors</t>
  </si>
  <si>
    <t>Course</t>
  </si>
  <si>
    <t>H</t>
  </si>
  <si>
    <t>MM</t>
  </si>
  <si>
    <t>8-12 knots</t>
  </si>
  <si>
    <t>NE</t>
  </si>
  <si>
    <t>dns</t>
  </si>
  <si>
    <t>5-10 knot</t>
  </si>
  <si>
    <t>NW</t>
  </si>
  <si>
    <t>5-15 knots</t>
  </si>
  <si>
    <t>NW-SW</t>
  </si>
  <si>
    <t xml:space="preserve"> </t>
  </si>
  <si>
    <t>10-14 knots</t>
  </si>
  <si>
    <t>:</t>
  </si>
  <si>
    <t>Various</t>
  </si>
  <si>
    <t>Handicap Correction Factors</t>
  </si>
  <si>
    <t>First place</t>
  </si>
  <si>
    <t>Second place</t>
  </si>
  <si>
    <t>Third place</t>
  </si>
  <si>
    <t>Other finishers</t>
  </si>
  <si>
    <t>Heat 12</t>
  </si>
  <si>
    <t>Heat 11</t>
  </si>
  <si>
    <t>Boat No.</t>
  </si>
  <si>
    <t>Wind Speed</t>
  </si>
  <si>
    <t>Wind Direction</t>
  </si>
  <si>
    <t>Stopwatch Correction</t>
  </si>
  <si>
    <t>Heat 20</t>
  </si>
  <si>
    <t>Heat 19</t>
  </si>
  <si>
    <t>Heat 18</t>
  </si>
  <si>
    <t>Meeks Real Estate</t>
  </si>
  <si>
    <t>Heat 17</t>
  </si>
  <si>
    <t>Heat 16</t>
  </si>
  <si>
    <t>Heat 15</t>
  </si>
  <si>
    <t>Heat 14</t>
  </si>
  <si>
    <t>Heat 13</t>
  </si>
  <si>
    <t>Heat 21</t>
  </si>
  <si>
    <t>Heat 22</t>
  </si>
  <si>
    <t>Point Score</t>
  </si>
  <si>
    <t>Championship</t>
  </si>
  <si>
    <t>Date</t>
  </si>
  <si>
    <t>Race Type</t>
  </si>
  <si>
    <t>Abandoned</t>
  </si>
  <si>
    <t>Net score</t>
  </si>
  <si>
    <t>Total</t>
  </si>
  <si>
    <t>DNS, DSQ</t>
  </si>
  <si>
    <t>adjusted Handicap</t>
  </si>
  <si>
    <t>-3 mins</t>
  </si>
  <si>
    <t>-2 mins</t>
  </si>
  <si>
    <t>-1 min</t>
  </si>
  <si>
    <t>0 mins</t>
  </si>
  <si>
    <t>The above is for calculation purposes</t>
  </si>
  <si>
    <t>8-10 knots</t>
  </si>
  <si>
    <t>NE</t>
  </si>
  <si>
    <t>7-10 knots</t>
  </si>
  <si>
    <t>Number of Starters +1</t>
  </si>
  <si>
    <t>adjusted hcp in decimal</t>
  </si>
  <si>
    <t>Race 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</si>
</sst>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"/>
    <numFmt numFmtId="173" formatCode="0;\-0;;@"/>
    <numFmt numFmtId="174" formatCode="[$-C09]dddd\,\ d\ mmmm\ yyyy"/>
    <numFmt numFmtId="175" formatCode="[$-C09]dd\-mmm\-yy;@"/>
    <numFmt numFmtId="176" formatCode="[$-409]h:mm:ss\ am/pm"/>
    <numFmt numFmtId="177" formatCode="h:mm:ss;@"/>
    <numFmt numFmtId="178" formatCode="[$-F400]h:mm:ss\ am/pm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"/>
      <color indexed="41"/>
      <name val="Arial"/>
      <family val="2"/>
    </font>
    <font>
      <sz val="10"/>
      <color indexed="10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25" fillId="14" borderId="0" applyNumberFormat="0" applyBorder="0" applyAlignment="0" applyProtection="0"/>
    <xf numFmtId="0" fontId="29" fillId="2" borderId="1" applyNumberFormat="0" applyAlignment="0" applyProtection="0"/>
    <xf numFmtId="0" fontId="31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2" fontId="0" fillId="16" borderId="10" xfId="0" applyNumberForma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0" fillId="8" borderId="10" xfId="0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72" fontId="8" fillId="0" borderId="10" xfId="0" applyNumberFormat="1" applyFont="1" applyFill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right"/>
    </xf>
    <xf numFmtId="0" fontId="0" fillId="6" borderId="10" xfId="0" applyFill="1" applyBorder="1" applyAlignment="1">
      <alignment horizontal="right"/>
    </xf>
    <xf numFmtId="0" fontId="14" fillId="6" borderId="0" xfId="0" applyFont="1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NumberFormat="1" applyFill="1" applyBorder="1" applyAlignment="1">
      <alignment/>
    </xf>
    <xf numFmtId="0" fontId="0" fillId="8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1" fontId="2" fillId="0" borderId="0" xfId="0" applyNumberFormat="1" applyFont="1" applyFill="1" applyBorder="1" applyAlignment="1">
      <alignment horizontal="centerContinuous"/>
    </xf>
    <xf numFmtId="21" fontId="2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1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/>
    </xf>
    <xf numFmtId="0" fontId="9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5" fontId="3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 horizontal="left"/>
      <protection/>
    </xf>
    <xf numFmtId="1" fontId="7" fillId="0" borderId="14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20" fontId="0" fillId="0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5" fontId="0" fillId="0" borderId="0" xfId="0" applyNumberFormat="1" applyFill="1" applyBorder="1" applyAlignment="1">
      <alignment/>
    </xf>
    <xf numFmtId="45" fontId="8" fillId="0" borderId="10" xfId="0" applyNumberFormat="1" applyFont="1" applyBorder="1" applyAlignment="1" applyProtection="1">
      <alignment/>
      <protection locked="0"/>
    </xf>
    <xf numFmtId="45" fontId="4" fillId="0" borderId="10" xfId="0" applyNumberFormat="1" applyFont="1" applyFill="1" applyBorder="1" applyAlignment="1">
      <alignment horizontal="center"/>
    </xf>
    <xf numFmtId="45" fontId="0" fillId="6" borderId="10" xfId="0" applyNumberFormat="1" applyFill="1" applyBorder="1" applyAlignment="1">
      <alignment/>
    </xf>
    <xf numFmtId="45" fontId="4" fillId="0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45" fontId="0" fillId="6" borderId="0" xfId="0" applyNumberFormat="1" applyFill="1" applyAlignment="1">
      <alignment/>
    </xf>
    <xf numFmtId="45" fontId="0" fillId="16" borderId="10" xfId="0" applyNumberFormat="1" applyFill="1" applyBorder="1" applyAlignment="1">
      <alignment/>
    </xf>
    <xf numFmtId="0" fontId="0" fillId="6" borderId="0" xfId="0" applyFill="1" applyBorder="1" applyAlignment="1">
      <alignment horizontal="right"/>
    </xf>
    <xf numFmtId="45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179" fontId="4" fillId="0" borderId="0" xfId="0" applyNumberFormat="1" applyFont="1" applyFill="1" applyBorder="1" applyAlignment="1">
      <alignment horizontal="center"/>
    </xf>
    <xf numFmtId="45" fontId="4" fillId="0" borderId="10" xfId="0" applyNumberFormat="1" applyFont="1" applyFill="1" applyBorder="1" applyAlignment="1">
      <alignment horizontal="center"/>
    </xf>
    <xf numFmtId="0" fontId="0" fillId="6" borderId="0" xfId="0" applyFill="1" applyAlignment="1" quotePrefix="1">
      <alignment/>
    </xf>
    <xf numFmtId="0" fontId="2" fillId="0" borderId="19" xfId="0" applyFont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5" fontId="7" fillId="0" borderId="10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5" fontId="7" fillId="0" borderId="15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0" fontId="0" fillId="0" borderId="25" xfId="0" applyBorder="1" applyAlignment="1">
      <alignment/>
    </xf>
    <xf numFmtId="0" fontId="8" fillId="0" borderId="25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7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27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8" borderId="17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9" fillId="0" borderId="17" xfId="0" applyFon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9"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</font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125" zoomScaleNormal="125" zoomScalePageLayoutView="0" workbookViewId="0" topLeftCell="A1">
      <selection activeCell="C14" sqref="C14"/>
    </sheetView>
  </sheetViews>
  <sheetFormatPr defaultColWidth="8.8515625" defaultRowHeight="12.75"/>
  <cols>
    <col min="1" max="1" width="8.8515625" style="0" customWidth="1"/>
    <col min="2" max="2" width="20.00390625" style="0" customWidth="1"/>
    <col min="3" max="3" width="10.421875" style="0" customWidth="1"/>
    <col min="4" max="4" width="9.28125" style="0" customWidth="1"/>
    <col min="5" max="5" width="7.421875" style="0" customWidth="1"/>
    <col min="6" max="6" width="8.8515625" style="0" customWidth="1"/>
    <col min="7" max="7" width="10.00390625" style="0" customWidth="1"/>
    <col min="8" max="8" width="14.421875" style="0" customWidth="1"/>
    <col min="9" max="9" width="9.28125" style="0" customWidth="1"/>
    <col min="10" max="10" width="9.140625" style="0" customWidth="1"/>
    <col min="11" max="11" width="10.00390625" style="0" customWidth="1"/>
    <col min="12" max="12" width="11.00390625" style="0" customWidth="1"/>
    <col min="13" max="13" width="10.421875" style="0" customWidth="1"/>
    <col min="14" max="15" width="8.8515625" style="0" customWidth="1"/>
    <col min="16" max="16" width="35.7109375" style="0" customWidth="1"/>
  </cols>
  <sheetData>
    <row r="1" spans="1:17" ht="48">
      <c r="A1" s="18" t="s">
        <v>121</v>
      </c>
      <c r="B1" s="18" t="s">
        <v>62</v>
      </c>
      <c r="C1" s="129" t="s">
        <v>2</v>
      </c>
      <c r="D1" s="129" t="s">
        <v>5</v>
      </c>
      <c r="E1" s="129" t="s">
        <v>6</v>
      </c>
      <c r="F1" s="129" t="s">
        <v>12</v>
      </c>
      <c r="G1" s="129" t="s">
        <v>55</v>
      </c>
      <c r="H1" s="18" t="s">
        <v>56</v>
      </c>
      <c r="I1" s="149" t="s">
        <v>42</v>
      </c>
      <c r="J1" s="144" t="s">
        <v>19</v>
      </c>
      <c r="K1" s="144" t="s">
        <v>22</v>
      </c>
      <c r="L1" s="144" t="s">
        <v>44</v>
      </c>
      <c r="M1" s="153" t="s">
        <v>43</v>
      </c>
      <c r="O1" s="129"/>
      <c r="P1" s="18"/>
      <c r="Q1" s="129"/>
    </row>
    <row r="2" spans="1:17" ht="12.75">
      <c r="A2" s="74">
        <v>2231</v>
      </c>
      <c r="B2" s="75" t="s">
        <v>45</v>
      </c>
      <c r="C2" s="129"/>
      <c r="D2" s="129"/>
      <c r="E2" s="129"/>
      <c r="F2" s="129"/>
      <c r="G2" s="129"/>
      <c r="H2" s="18"/>
      <c r="I2" s="156"/>
      <c r="J2" s="157">
        <v>14</v>
      </c>
      <c r="K2" s="157">
        <v>19</v>
      </c>
      <c r="L2" s="158" t="s">
        <v>20</v>
      </c>
      <c r="M2" s="159">
        <v>14</v>
      </c>
      <c r="O2" s="129"/>
      <c r="P2" s="18"/>
      <c r="Q2" s="129"/>
    </row>
    <row r="3" spans="1:17" ht="12.75">
      <c r="A3" s="74">
        <v>2232</v>
      </c>
      <c r="B3" s="75" t="s">
        <v>46</v>
      </c>
      <c r="C3" s="141">
        <v>7</v>
      </c>
      <c r="D3" s="141">
        <v>1</v>
      </c>
      <c r="E3" s="142">
        <v>4</v>
      </c>
      <c r="F3" s="143">
        <v>9.3</v>
      </c>
      <c r="G3" s="142">
        <v>5</v>
      </c>
      <c r="H3" t="s">
        <v>13</v>
      </c>
      <c r="I3" s="150">
        <v>7</v>
      </c>
      <c r="J3" s="145">
        <v>11</v>
      </c>
      <c r="K3" s="145">
        <v>6</v>
      </c>
      <c r="L3" s="145" t="s">
        <v>21</v>
      </c>
      <c r="M3" s="150">
        <v>8</v>
      </c>
      <c r="O3" s="130"/>
      <c r="P3" s="17"/>
      <c r="Q3" s="141"/>
    </row>
    <row r="4" spans="1:17" ht="12.75">
      <c r="A4" s="74">
        <v>2234</v>
      </c>
      <c r="B4" s="75" t="s">
        <v>128</v>
      </c>
      <c r="C4" s="141" t="s">
        <v>3</v>
      </c>
      <c r="D4" s="141"/>
      <c r="E4" s="142"/>
      <c r="F4" s="143"/>
      <c r="G4" s="142"/>
      <c r="I4" s="150"/>
      <c r="J4" s="145"/>
      <c r="K4" s="145"/>
      <c r="L4" s="145"/>
      <c r="M4" s="150">
        <v>14</v>
      </c>
      <c r="O4" s="130"/>
      <c r="P4" s="17"/>
      <c r="Q4" s="141"/>
    </row>
    <row r="5" spans="1:17" ht="12.75">
      <c r="A5" s="74">
        <v>2235</v>
      </c>
      <c r="B5" s="75" t="s">
        <v>90</v>
      </c>
      <c r="C5" s="141">
        <v>9</v>
      </c>
      <c r="D5" s="141">
        <v>1</v>
      </c>
      <c r="E5" s="142">
        <v>5</v>
      </c>
      <c r="F5" s="143">
        <v>7.5</v>
      </c>
      <c r="G5" s="142">
        <v>4</v>
      </c>
      <c r="H5" t="s">
        <v>14</v>
      </c>
      <c r="I5" s="150">
        <v>7</v>
      </c>
      <c r="J5" s="145">
        <v>13</v>
      </c>
      <c r="K5" s="145">
        <v>7</v>
      </c>
      <c r="L5" s="145" t="s">
        <v>23</v>
      </c>
      <c r="M5" s="150">
        <v>8</v>
      </c>
      <c r="O5" s="130"/>
      <c r="P5" s="17"/>
      <c r="Q5" s="141"/>
    </row>
    <row r="6" spans="1:17" ht="12.75">
      <c r="A6" s="74">
        <v>2236</v>
      </c>
      <c r="B6" s="75" t="s">
        <v>58</v>
      </c>
      <c r="C6" s="141"/>
      <c r="D6" s="141"/>
      <c r="E6" s="142"/>
      <c r="F6" s="143"/>
      <c r="G6" s="142"/>
      <c r="I6" s="150"/>
      <c r="J6" s="145"/>
      <c r="K6" s="145"/>
      <c r="L6" s="145"/>
      <c r="M6" s="150">
        <v>13</v>
      </c>
      <c r="O6" s="130"/>
      <c r="P6" s="17"/>
      <c r="Q6" s="141"/>
    </row>
    <row r="7" spans="1:17" ht="12.75">
      <c r="A7" s="82">
        <v>2240</v>
      </c>
      <c r="B7" s="75" t="s">
        <v>48</v>
      </c>
      <c r="C7" s="141">
        <v>1</v>
      </c>
      <c r="D7" s="141">
        <v>0</v>
      </c>
      <c r="E7" s="142">
        <v>1</v>
      </c>
      <c r="F7" s="143">
        <v>2.6</v>
      </c>
      <c r="G7" s="142">
        <v>1</v>
      </c>
      <c r="H7" t="s">
        <v>15</v>
      </c>
      <c r="I7" s="150">
        <v>1</v>
      </c>
      <c r="J7" s="145">
        <v>2</v>
      </c>
      <c r="K7" s="145">
        <v>2</v>
      </c>
      <c r="L7" s="145"/>
      <c r="M7" s="150">
        <v>2</v>
      </c>
      <c r="O7" s="130"/>
      <c r="P7" s="17"/>
      <c r="Q7" s="141"/>
    </row>
    <row r="8" spans="1:17" ht="12.75">
      <c r="A8" s="74">
        <v>2241</v>
      </c>
      <c r="B8" s="75" t="s">
        <v>49</v>
      </c>
      <c r="C8" s="141">
        <v>12</v>
      </c>
      <c r="D8" s="141">
        <v>2</v>
      </c>
      <c r="E8" s="142">
        <v>7</v>
      </c>
      <c r="F8" s="143">
        <v>10</v>
      </c>
      <c r="G8" s="142">
        <v>5</v>
      </c>
      <c r="H8" t="s">
        <v>16</v>
      </c>
      <c r="I8" s="150">
        <v>12</v>
      </c>
      <c r="J8" s="148">
        <v>17</v>
      </c>
      <c r="K8" s="148">
        <v>12</v>
      </c>
      <c r="L8" s="148"/>
      <c r="M8" s="150">
        <v>15</v>
      </c>
      <c r="O8" s="130"/>
      <c r="P8" s="17"/>
      <c r="Q8" s="141"/>
    </row>
    <row r="9" spans="1:17" ht="12.75">
      <c r="A9" s="74">
        <v>2242</v>
      </c>
      <c r="B9" s="75" t="s">
        <v>59</v>
      </c>
      <c r="C9" s="141" t="s">
        <v>3</v>
      </c>
      <c r="D9" s="141"/>
      <c r="E9" s="142"/>
      <c r="F9" s="143">
        <v>12.5</v>
      </c>
      <c r="G9" s="142">
        <v>6</v>
      </c>
      <c r="I9" s="150">
        <v>12</v>
      </c>
      <c r="J9" s="146"/>
      <c r="K9" s="146"/>
      <c r="L9" s="155" t="s">
        <v>51</v>
      </c>
      <c r="M9" s="150">
        <v>14</v>
      </c>
      <c r="O9" s="130"/>
      <c r="P9" s="17"/>
      <c r="Q9" s="141"/>
    </row>
    <row r="10" spans="1:17" ht="12.75">
      <c r="A10" s="82"/>
      <c r="B10" s="75"/>
      <c r="C10" s="141">
        <v>8</v>
      </c>
      <c r="D10" s="141">
        <v>5</v>
      </c>
      <c r="E10" s="142">
        <v>7</v>
      </c>
      <c r="F10" s="143">
        <v>7.5</v>
      </c>
      <c r="G10" s="142">
        <v>4</v>
      </c>
      <c r="H10" t="s">
        <v>17</v>
      </c>
      <c r="I10" s="150">
        <v>8</v>
      </c>
      <c r="J10" s="148">
        <v>11</v>
      </c>
      <c r="K10" s="148">
        <v>26</v>
      </c>
      <c r="L10" s="148"/>
      <c r="M10" s="150">
        <v>11</v>
      </c>
      <c r="O10" s="130"/>
      <c r="P10" s="17"/>
      <c r="Q10" s="141"/>
    </row>
    <row r="11" spans="1:17" ht="12.75">
      <c r="A11" s="82"/>
      <c r="B11" s="75"/>
      <c r="C11" s="141" t="s">
        <v>24</v>
      </c>
      <c r="D11" s="141"/>
      <c r="E11" s="142"/>
      <c r="F11" s="143"/>
      <c r="G11" s="142"/>
      <c r="I11" s="150">
        <v>7</v>
      </c>
      <c r="J11" s="148"/>
      <c r="K11" s="148"/>
      <c r="L11" s="148" t="s">
        <v>50</v>
      </c>
      <c r="M11" s="150">
        <v>8</v>
      </c>
      <c r="O11" s="130"/>
      <c r="P11" s="17"/>
      <c r="Q11" s="141"/>
    </row>
    <row r="12" spans="1:17" ht="12.75">
      <c r="A12" s="74"/>
      <c r="B12" s="75"/>
      <c r="C12" s="141">
        <v>0</v>
      </c>
      <c r="D12" s="141">
        <v>1</v>
      </c>
      <c r="E12" s="142">
        <v>0</v>
      </c>
      <c r="F12" s="143">
        <v>0</v>
      </c>
      <c r="G12" s="142">
        <v>0</v>
      </c>
      <c r="H12" t="s">
        <v>18</v>
      </c>
      <c r="I12" s="150">
        <v>0</v>
      </c>
      <c r="J12" s="141">
        <v>0</v>
      </c>
      <c r="K12" s="141">
        <v>0</v>
      </c>
      <c r="L12" s="141"/>
      <c r="M12" s="150">
        <v>0</v>
      </c>
      <c r="O12" s="131"/>
      <c r="P12" s="19"/>
      <c r="Q12" s="141"/>
    </row>
    <row r="13" spans="3:17" ht="12">
      <c r="C13" s="141"/>
      <c r="D13" s="141"/>
      <c r="E13" s="142"/>
      <c r="F13" s="142"/>
      <c r="I13" s="151"/>
      <c r="M13" s="154"/>
      <c r="O13" s="131"/>
      <c r="P13" s="17"/>
      <c r="Q13" s="141"/>
    </row>
    <row r="14" spans="1:17" ht="12.75">
      <c r="A14" s="139"/>
      <c r="B14" s="140"/>
      <c r="D14" s="141"/>
      <c r="E14" s="142"/>
      <c r="F14" s="142"/>
      <c r="I14" s="152"/>
      <c r="J14" s="147"/>
      <c r="K14" s="147"/>
      <c r="L14" s="147"/>
      <c r="M14" s="154"/>
      <c r="O14" s="131"/>
      <c r="P14" s="19"/>
      <c r="Q14" s="141"/>
    </row>
    <row r="15" spans="9:17" ht="12">
      <c r="I15" s="151"/>
      <c r="M15" s="154"/>
      <c r="O15" s="131"/>
      <c r="P15" s="19"/>
      <c r="Q15" s="141"/>
    </row>
    <row r="16" spans="1:17" ht="12.75">
      <c r="A16" s="139"/>
      <c r="B16" s="140"/>
      <c r="I16" s="152"/>
      <c r="J16" s="147"/>
      <c r="K16" s="147"/>
      <c r="L16" s="147"/>
      <c r="M16" s="154"/>
      <c r="O16" s="131"/>
      <c r="P16" s="17"/>
      <c r="Q16" s="141"/>
    </row>
    <row r="17" spans="1:17" ht="12.75">
      <c r="A17" s="139"/>
      <c r="B17" s="140"/>
      <c r="I17" s="152"/>
      <c r="J17" s="147"/>
      <c r="K17" s="147"/>
      <c r="L17" s="147"/>
      <c r="M17" s="154"/>
      <c r="O17" s="131"/>
      <c r="P17" s="17"/>
      <c r="Q17" s="141"/>
    </row>
    <row r="18" spans="9:17" ht="12">
      <c r="I18" s="151"/>
      <c r="M18" s="151"/>
      <c r="O18" s="130"/>
      <c r="P18" s="19"/>
      <c r="Q18" s="141"/>
    </row>
    <row r="19" spans="1:17" ht="12.75">
      <c r="A19" s="139"/>
      <c r="B19" s="140"/>
      <c r="I19" s="152"/>
      <c r="J19" s="147"/>
      <c r="K19" s="147"/>
      <c r="L19" s="147"/>
      <c r="M19" s="151"/>
      <c r="O19" s="130"/>
      <c r="P19" s="17"/>
      <c r="Q19" s="141"/>
    </row>
    <row r="20" spans="1:17" ht="12.75">
      <c r="A20" s="139"/>
      <c r="B20" s="140"/>
      <c r="I20" s="152"/>
      <c r="J20" s="147"/>
      <c r="K20" s="147"/>
      <c r="L20" s="147"/>
      <c r="M20" s="151"/>
      <c r="O20" s="130"/>
      <c r="P20" s="17"/>
      <c r="Q20" s="141"/>
    </row>
    <row r="21" spans="9:17" ht="12">
      <c r="I21" s="151"/>
      <c r="M21" s="151"/>
      <c r="O21" s="131"/>
      <c r="P21" s="17"/>
      <c r="Q21" s="141"/>
    </row>
    <row r="22" spans="1:17" ht="12.75">
      <c r="A22" s="139"/>
      <c r="B22" s="140"/>
      <c r="I22" s="152"/>
      <c r="J22" s="147"/>
      <c r="K22" s="147"/>
      <c r="L22" s="147"/>
      <c r="M22" s="151"/>
      <c r="O22" s="131"/>
      <c r="P22" s="17"/>
      <c r="Q22" s="141"/>
    </row>
    <row r="23" spans="1:13" ht="12">
      <c r="A23" s="139"/>
      <c r="B23" s="139"/>
      <c r="I23" s="152"/>
      <c r="J23" s="147"/>
      <c r="K23" s="147"/>
      <c r="L23" s="147"/>
      <c r="M23" s="151"/>
    </row>
    <row r="24" spans="1:13" ht="12">
      <c r="A24" s="17"/>
      <c r="B24" s="17"/>
      <c r="I24" s="151"/>
      <c r="J24" s="132"/>
      <c r="K24" s="132"/>
      <c r="L24" s="132"/>
      <c r="M24" s="151"/>
    </row>
    <row r="25" spans="1:13" ht="39" customHeight="1">
      <c r="A25" s="132"/>
      <c r="B25" s="160"/>
      <c r="C25" s="160"/>
      <c r="D25" s="160"/>
      <c r="E25" s="160"/>
      <c r="F25" s="160"/>
      <c r="G25" s="160"/>
      <c r="H25" s="160"/>
      <c r="I25" s="151"/>
      <c r="M25" s="151"/>
    </row>
    <row r="26" spans="1:8" ht="12">
      <c r="A26" s="132"/>
      <c r="B26" s="132"/>
      <c r="C26" s="135"/>
      <c r="D26" s="135"/>
      <c r="E26" s="135"/>
      <c r="F26" s="135"/>
      <c r="G26" s="133"/>
      <c r="H26" s="134"/>
    </row>
    <row r="27" spans="1:8" ht="12">
      <c r="A27" s="132"/>
      <c r="B27" s="132" t="s">
        <v>61</v>
      </c>
      <c r="C27" s="135"/>
      <c r="D27" s="135"/>
      <c r="E27" s="135"/>
      <c r="F27" s="135"/>
      <c r="G27" s="133"/>
      <c r="H27" s="134"/>
    </row>
    <row r="28" spans="1:8" ht="12">
      <c r="A28" s="132"/>
      <c r="B28" s="132"/>
      <c r="C28" s="133"/>
      <c r="D28" s="133"/>
      <c r="E28" s="133"/>
      <c r="F28" s="133"/>
      <c r="G28" s="133"/>
      <c r="H28" s="134"/>
    </row>
    <row r="29" spans="1:8" ht="12">
      <c r="A29" s="132"/>
      <c r="B29" s="132"/>
      <c r="C29" s="133"/>
      <c r="D29" s="133"/>
      <c r="E29" s="133"/>
      <c r="F29" s="133"/>
      <c r="G29" s="133"/>
      <c r="H29" s="134"/>
    </row>
    <row r="30" spans="1:8" ht="12">
      <c r="A30" s="132"/>
      <c r="B30" s="132"/>
      <c r="C30" s="133"/>
      <c r="D30" s="133"/>
      <c r="E30" s="133"/>
      <c r="F30" s="133"/>
      <c r="G30" s="133"/>
      <c r="H30" s="134"/>
    </row>
    <row r="31" spans="1:8" ht="12">
      <c r="A31" s="132"/>
      <c r="B31" s="132"/>
      <c r="C31" s="135"/>
      <c r="D31" s="135"/>
      <c r="E31" s="135"/>
      <c r="F31" s="135"/>
      <c r="G31" s="133"/>
      <c r="H31" s="134"/>
    </row>
    <row r="32" spans="1:8" ht="12">
      <c r="A32" s="132"/>
      <c r="B32" s="132"/>
      <c r="C32" s="133"/>
      <c r="D32" s="133"/>
      <c r="E32" s="133"/>
      <c r="F32" s="133"/>
      <c r="G32" s="133"/>
      <c r="H32" s="134"/>
    </row>
    <row r="33" spans="1:8" ht="12">
      <c r="A33" s="132"/>
      <c r="B33" s="132"/>
      <c r="C33" s="133"/>
      <c r="D33" s="133"/>
      <c r="E33" s="133"/>
      <c r="F33" s="133"/>
      <c r="G33" s="133"/>
      <c r="H33" s="134"/>
    </row>
    <row r="34" spans="1:8" ht="12">
      <c r="A34" s="132"/>
      <c r="B34" s="132"/>
      <c r="C34" s="133"/>
      <c r="D34" s="133"/>
      <c r="E34" s="133"/>
      <c r="F34" s="133"/>
      <c r="G34" s="133"/>
      <c r="H34" s="134"/>
    </row>
    <row r="35" spans="1:8" ht="12">
      <c r="A35" s="132"/>
      <c r="B35" s="132"/>
      <c r="C35" s="135"/>
      <c r="D35" s="135"/>
      <c r="E35" s="135"/>
      <c r="F35" s="135"/>
      <c r="G35" s="133"/>
      <c r="H35" s="134"/>
    </row>
    <row r="36" spans="1:8" ht="12">
      <c r="A36" s="132"/>
      <c r="B36" s="132"/>
      <c r="C36" s="135"/>
      <c r="D36" s="135"/>
      <c r="E36" s="135"/>
      <c r="F36" s="135"/>
      <c r="G36" s="133"/>
      <c r="H36" s="134"/>
    </row>
    <row r="37" spans="1:8" ht="12">
      <c r="A37" s="132"/>
      <c r="B37" s="132"/>
      <c r="C37" s="135"/>
      <c r="D37" s="135"/>
      <c r="E37" s="135"/>
      <c r="F37" s="135"/>
      <c r="G37" s="133"/>
      <c r="H37" s="134"/>
    </row>
    <row r="38" spans="1:8" ht="12">
      <c r="A38" s="132"/>
      <c r="B38" s="132"/>
      <c r="C38" s="135"/>
      <c r="D38" s="135"/>
      <c r="E38" s="135"/>
      <c r="F38" s="135"/>
      <c r="G38" s="133"/>
      <c r="H38" s="134"/>
    </row>
    <row r="39" spans="1:8" ht="12">
      <c r="A39" s="132"/>
      <c r="B39" s="132"/>
      <c r="C39" s="135"/>
      <c r="D39" s="135"/>
      <c r="E39" s="135"/>
      <c r="F39" s="135"/>
      <c r="G39" s="133"/>
      <c r="H39" s="134"/>
    </row>
    <row r="40" spans="1:8" ht="12">
      <c r="A40" s="132"/>
      <c r="B40" s="132"/>
      <c r="C40" s="135"/>
      <c r="D40" s="135"/>
      <c r="E40" s="135"/>
      <c r="F40" s="135"/>
      <c r="G40" s="132"/>
      <c r="H40" s="134"/>
    </row>
    <row r="41" spans="1:8" ht="12">
      <c r="A41" s="132"/>
      <c r="B41" s="132"/>
      <c r="C41" s="135"/>
      <c r="D41" s="132"/>
      <c r="E41" s="132"/>
      <c r="F41" s="132"/>
      <c r="G41" s="132"/>
      <c r="H41" s="134"/>
    </row>
    <row r="42" spans="1:8" ht="12">
      <c r="A42" s="132"/>
      <c r="B42" s="132"/>
      <c r="C42" s="135"/>
      <c r="D42" s="135"/>
      <c r="E42" s="135"/>
      <c r="F42" s="135"/>
      <c r="G42" s="132"/>
      <c r="H42" s="134"/>
    </row>
    <row r="43" spans="1:8" ht="12">
      <c r="A43" s="132"/>
      <c r="B43" s="132"/>
      <c r="C43" s="133"/>
      <c r="D43" s="133"/>
      <c r="E43" s="133"/>
      <c r="F43" s="133"/>
      <c r="G43" s="133"/>
      <c r="H43" s="134"/>
    </row>
    <row r="44" spans="1:8" ht="12">
      <c r="A44" s="132"/>
      <c r="B44" s="132"/>
      <c r="C44" s="133"/>
      <c r="D44" s="133"/>
      <c r="E44" s="133"/>
      <c r="F44" s="133"/>
      <c r="G44" s="133"/>
      <c r="H44" s="134"/>
    </row>
    <row r="45" spans="1:8" ht="12">
      <c r="A45" s="132"/>
      <c r="B45" s="132"/>
      <c r="C45" s="133"/>
      <c r="D45" s="133"/>
      <c r="E45" s="133"/>
      <c r="F45" s="133"/>
      <c r="G45" s="133"/>
      <c r="H45" s="134"/>
    </row>
    <row r="46" spans="1:8" ht="12">
      <c r="A46" s="132"/>
      <c r="B46" s="132"/>
      <c r="C46" s="133"/>
      <c r="D46" s="133"/>
      <c r="E46" s="133"/>
      <c r="F46" s="133"/>
      <c r="G46" s="133"/>
      <c r="H46" s="134"/>
    </row>
    <row r="47" spans="1:8" ht="12">
      <c r="A47" s="132"/>
      <c r="B47" s="132"/>
      <c r="C47" s="133"/>
      <c r="D47" s="133"/>
      <c r="E47" s="133"/>
      <c r="F47" s="133"/>
      <c r="G47" s="133"/>
      <c r="H47" s="134"/>
    </row>
    <row r="48" spans="1:8" ht="12">
      <c r="A48" s="132"/>
      <c r="B48" s="132"/>
      <c r="C48" s="133"/>
      <c r="D48" s="133"/>
      <c r="E48" s="133"/>
      <c r="F48" s="133"/>
      <c r="G48" s="133"/>
      <c r="H48" s="134"/>
    </row>
    <row r="49" spans="1:8" ht="12">
      <c r="A49" s="132"/>
      <c r="B49" s="132"/>
      <c r="C49" s="133"/>
      <c r="D49" s="133"/>
      <c r="E49" s="133"/>
      <c r="F49" s="133"/>
      <c r="G49" s="133"/>
      <c r="H49" s="134"/>
    </row>
    <row r="50" spans="1:8" ht="12">
      <c r="A50" s="132"/>
      <c r="B50" s="132"/>
      <c r="C50" s="133"/>
      <c r="D50" s="133"/>
      <c r="E50" s="133"/>
      <c r="F50" s="133"/>
      <c r="G50" s="133"/>
      <c r="H50" s="134"/>
    </row>
    <row r="51" spans="1:8" ht="12">
      <c r="A51" s="132"/>
      <c r="B51" s="132"/>
      <c r="C51" s="133"/>
      <c r="D51" s="133"/>
      <c r="E51" s="133"/>
      <c r="F51" s="133"/>
      <c r="G51" s="133"/>
      <c r="H51" s="134"/>
    </row>
    <row r="52" spans="1:8" ht="12">
      <c r="A52" s="132"/>
      <c r="B52" s="132"/>
      <c r="C52" s="135"/>
      <c r="D52" s="135"/>
      <c r="E52" s="135"/>
      <c r="F52" s="135"/>
      <c r="G52" s="132"/>
      <c r="H52" s="134"/>
    </row>
    <row r="53" spans="1:8" ht="12">
      <c r="A53" s="132"/>
      <c r="B53" s="132"/>
      <c r="C53" s="135"/>
      <c r="D53" s="135"/>
      <c r="E53" s="135"/>
      <c r="F53" s="135"/>
      <c r="G53" s="132"/>
      <c r="H53" s="134"/>
    </row>
    <row r="54" spans="1:8" ht="12">
      <c r="A54" s="132"/>
      <c r="B54" s="132"/>
      <c r="C54" s="135"/>
      <c r="D54" s="135"/>
      <c r="E54" s="135"/>
      <c r="F54" s="135"/>
      <c r="G54" s="132"/>
      <c r="H54" s="134"/>
    </row>
    <row r="55" spans="1:8" ht="12">
      <c r="A55" s="132"/>
      <c r="B55" s="132"/>
      <c r="C55" s="133"/>
      <c r="D55" s="133"/>
      <c r="E55" s="133"/>
      <c r="F55" s="133"/>
      <c r="G55" s="133"/>
      <c r="H55" s="134"/>
    </row>
    <row r="56" spans="1:8" ht="12">
      <c r="A56" s="132"/>
      <c r="B56" s="132"/>
      <c r="C56" s="133"/>
      <c r="D56" s="133"/>
      <c r="E56" s="133"/>
      <c r="F56" s="133"/>
      <c r="G56" s="133"/>
      <c r="H56" s="134"/>
    </row>
    <row r="57" spans="1:8" ht="12">
      <c r="A57" s="132"/>
      <c r="B57" s="132"/>
      <c r="C57" s="133"/>
      <c r="D57" s="133"/>
      <c r="E57" s="133"/>
      <c r="F57" s="133"/>
      <c r="G57" s="133"/>
      <c r="H57" s="134"/>
    </row>
    <row r="58" spans="1:8" ht="12">
      <c r="A58" s="132"/>
      <c r="B58" s="132"/>
      <c r="C58" s="135"/>
      <c r="D58" s="135"/>
      <c r="E58" s="135"/>
      <c r="F58" s="135"/>
      <c r="G58" s="132"/>
      <c r="H58" s="134"/>
    </row>
    <row r="59" spans="1:8" ht="12">
      <c r="A59" s="132"/>
      <c r="B59" s="132"/>
      <c r="C59" s="132"/>
      <c r="D59" s="132"/>
      <c r="E59" s="132"/>
      <c r="F59" s="132"/>
      <c r="G59" s="132"/>
      <c r="H59" s="134"/>
    </row>
    <row r="60" spans="1:8" ht="12">
      <c r="A60" s="132"/>
      <c r="B60" s="132"/>
      <c r="C60" s="132"/>
      <c r="D60" s="132"/>
      <c r="E60" s="132"/>
      <c r="F60" s="132"/>
      <c r="G60" s="132"/>
      <c r="H60" s="134"/>
    </row>
    <row r="61" spans="1:8" ht="12">
      <c r="A61" s="132"/>
      <c r="B61" s="132"/>
      <c r="C61" s="133"/>
      <c r="D61" s="133"/>
      <c r="E61" s="133"/>
      <c r="F61" s="133"/>
      <c r="G61" s="133"/>
      <c r="H61" s="134"/>
    </row>
    <row r="62" spans="1:8" ht="12">
      <c r="A62" s="132"/>
      <c r="B62" s="132"/>
      <c r="C62" s="133"/>
      <c r="D62" s="133"/>
      <c r="E62" s="133"/>
      <c r="F62" s="133"/>
      <c r="G62" s="133"/>
      <c r="H62" s="134"/>
    </row>
    <row r="63" spans="1:8" ht="12">
      <c r="A63" s="132"/>
      <c r="B63" s="132"/>
      <c r="C63" s="133"/>
      <c r="D63" s="133"/>
      <c r="E63" s="133"/>
      <c r="F63" s="133"/>
      <c r="G63" s="133"/>
      <c r="H63" s="134"/>
    </row>
    <row r="64" spans="1:8" ht="12">
      <c r="A64" s="132"/>
      <c r="B64" s="132"/>
      <c r="C64" s="133"/>
      <c r="D64" s="133"/>
      <c r="E64" s="133"/>
      <c r="F64" s="133"/>
      <c r="G64" s="133"/>
      <c r="H64" s="134"/>
    </row>
    <row r="65" spans="1:8" ht="12">
      <c r="A65" s="132"/>
      <c r="B65" s="132"/>
      <c r="C65" s="133"/>
      <c r="D65" s="133"/>
      <c r="E65" s="133"/>
      <c r="F65" s="133"/>
      <c r="G65" s="133"/>
      <c r="H65" s="134"/>
    </row>
    <row r="66" spans="1:8" ht="12">
      <c r="A66" s="132"/>
      <c r="B66" s="132"/>
      <c r="C66" s="133"/>
      <c r="D66" s="133"/>
      <c r="E66" s="133"/>
      <c r="F66" s="133"/>
      <c r="G66" s="133"/>
      <c r="H66" s="134"/>
    </row>
    <row r="67" spans="1:8" ht="12">
      <c r="A67" s="132"/>
      <c r="B67" s="132"/>
      <c r="C67" s="132"/>
      <c r="D67" s="132"/>
      <c r="E67" s="132"/>
      <c r="F67" s="132"/>
      <c r="G67" s="132"/>
      <c r="H67" s="132"/>
    </row>
  </sheetData>
  <sheetProtection/>
  <mergeCells count="1">
    <mergeCell ref="B25:H25"/>
  </mergeCells>
  <printOptions/>
  <pageMargins left="0.31" right="0.24000000000000002" top="0.43999999999999995" bottom="0.19" header="0.21999999999999997" footer="0.18000000000000002"/>
  <pageSetup fitToHeight="1" fitToWidth="1" horizontalDpi="600" verticalDpi="600" orientation="landscape" paperSize="9" scale="92"/>
  <headerFooter alignWithMargins="0">
    <oddHeader>&amp;C2013/14 National handicaps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1:Y32"/>
  <sheetViews>
    <sheetView zoomScale="125" zoomScaleNormal="125" zoomScalePageLayoutView="0" workbookViewId="0" topLeftCell="A1">
      <selection activeCell="N20" sqref="N20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851562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10.7109375" style="23" hidden="1" customWidth="1"/>
    <col min="18" max="18" width="17.28125" style="23" hidden="1" customWidth="1"/>
    <col min="19" max="19" width="18.140625" style="23" hidden="1" customWidth="1"/>
    <col min="20" max="20" width="18.85156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43112</v>
      </c>
    </row>
    <row r="2" ht="12.75"/>
    <row r="3" spans="2:15" ht="18" customHeight="1">
      <c r="B3" s="40" t="s">
        <v>83</v>
      </c>
      <c r="C3" s="41" t="s">
        <v>100</v>
      </c>
      <c r="D3" s="71">
        <v>1</v>
      </c>
      <c r="E3" s="42"/>
      <c r="F3" s="42"/>
      <c r="G3" s="42"/>
      <c r="H3" s="42"/>
      <c r="I3" s="43" t="s">
        <v>122</v>
      </c>
      <c r="J3" s="163" t="s">
        <v>8</v>
      </c>
      <c r="K3" s="164"/>
      <c r="N3" s="43" t="s">
        <v>123</v>
      </c>
      <c r="O3" s="72" t="s">
        <v>9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40</v>
      </c>
      <c r="G6" s="10" t="s">
        <v>112</v>
      </c>
      <c r="H6" s="12">
        <v>54</v>
      </c>
      <c r="I6" s="50">
        <f aca="true" t="shared" si="0" ref="I6:I30">IF(TIMEVALUE(D6&amp;":"&amp;F6&amp;":"&amp;H6)=0,"",TIMEVALUE(D6&amp;":"&amp;F6&amp;":"&amp;H6)-$I$4)</f>
        <v>0.028402777777777777</v>
      </c>
      <c r="J6" s="51">
        <f aca="true" t="shared" si="1" ref="J6:J30">IF(ISERROR(IF(I6="DNS","DNS",IF(I6="DNF","DNF",IF(I6="DSQ","DSQ",RANK(I6,I$6:I$30,1))))),"",IF(I6="DNS","DNS",IF(I6="DNF","DNF",IF(I6="DSQ","DSQ",RANK(I6,I$6:I$30,1)))))</f>
        <v>7</v>
      </c>
      <c r="K6" s="52">
        <f>IF(ISERROR(VLOOKUP(J6,'Data sheet'!$B$3:$C$32,2,FALSE)),"",IF(I6="DNF",$I$32,(VLOOKUP(J6,'Data sheet'!$B$3:$C$32,2,FALSE))))</f>
        <v>7</v>
      </c>
      <c r="L6" s="29"/>
      <c r="M6" s="93">
        <f>IF('Data sheet'!M3="","",'Data sheet'!M3)</f>
        <v>0.0013888888888888883</v>
      </c>
      <c r="N6" s="53">
        <f>IF(I6="","",IF($C$1="Handicap",I6,IF(I6="DNS","DNS",IF(I6="DNF","DNF",IF(I6="DSQ","DSQ",I6-M6)))))</f>
        <v>0.02701388888888889</v>
      </c>
      <c r="O6" s="51">
        <f>IF(I6="","",IF(N6="DNS","DNS",IF(N6="DNF","DNF",IF(N6="DSQ","DSQ",RANK(N6,N$6:N$30,1)))))</f>
        <v>9</v>
      </c>
      <c r="P6" s="52">
        <f>IF(O6="","",IF(O6="DNF",$I$32,VLOOKUP(O6,'Data sheet'!$B$3:$C$32,2,FALSE)))</f>
        <v>9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0.0034722222222222216</v>
      </c>
      <c r="S6" s="101">
        <f>R6</f>
        <v>0.0034722222222222216</v>
      </c>
      <c r="T6" s="103">
        <f>IF(R6="","",S6-S$32)</f>
        <v>0.0020833333333333333</v>
      </c>
      <c r="U6" s="104">
        <f>IF(T6=0,0,IF(O6="DNS",M6,IF(O6="DSQ",M6,T6)))</f>
        <v>0.0020833333333333333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36</v>
      </c>
      <c r="G7" s="10" t="s">
        <v>112</v>
      </c>
      <c r="H7" s="12">
        <v>58</v>
      </c>
      <c r="I7" s="50">
        <f t="shared" si="0"/>
        <v>0.0256712962962963</v>
      </c>
      <c r="J7" s="51">
        <f t="shared" si="1"/>
        <v>1</v>
      </c>
      <c r="K7" s="52">
        <f>IF(ISERROR(VLOOKUP(J7,'Data sheet'!$B$3:$C$32,2,FALSE)),"",IF(I7="DNF",$I$32,(VLOOKUP(J7,'Data sheet'!$B$3:$C$32,2,FALSE))))</f>
        <v>1</v>
      </c>
      <c r="L7" s="29"/>
      <c r="M7" s="93">
        <f>IF('Data sheet'!M4="","",'Data sheet'!M4)</f>
        <v>0.0006944444444444437</v>
      </c>
      <c r="N7" s="53">
        <f aca="true" t="shared" si="2" ref="N7:N30">IF(I7="","",IF($C$1="Handicap",I7,IF(I7="DNS","DNS",IF(I7="DNF","DNF",IF(I7="DSQ","DSQ",I7-M7)))))</f>
        <v>0.024976851851851854</v>
      </c>
      <c r="O7" s="51">
        <f aca="true" t="shared" si="3" ref="O7:O30">IF(I7="","",IF(N7="DNS","DNS",IF(N7="DNF","DNF",IF(N7="DSQ","DSQ",RANK(N7,N$6:N$30,1)))))</f>
        <v>2</v>
      </c>
      <c r="P7" s="52">
        <f>IF(O7="","",IF(O7="DNF",$I$32,VLOOKUP(O7,'Data sheet'!$B$3:$C$32,2,FALSE)))</f>
        <v>2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0.0013888888888888883</v>
      </c>
      <c r="S7" s="101">
        <f aca="true" t="shared" si="4" ref="S7:S30">R7</f>
        <v>0.0013888888888888883</v>
      </c>
      <c r="T7" s="103">
        <f aca="true" t="shared" si="5" ref="T7:T30">IF(R7="","",S7-S$32)</f>
        <v>0</v>
      </c>
      <c r="U7" s="104">
        <f aca="true" t="shared" si="6" ref="U7:U30">IF(T7=0,0,IF(O7="DNS",M7,IF(O7="DSQ",M7,T7)))</f>
        <v>0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45</v>
      </c>
      <c r="G8" s="10" t="s">
        <v>112</v>
      </c>
      <c r="H8" s="12">
        <v>52</v>
      </c>
      <c r="I8" s="50">
        <f t="shared" si="0"/>
        <v>0.03185185185185185</v>
      </c>
      <c r="J8" s="51">
        <f t="shared" si="1"/>
        <v>10</v>
      </c>
      <c r="K8" s="52">
        <f>IF(ISERROR(VLOOKUP(J8,'Data sheet'!$B$3:$C$32,2,FALSE)),"",IF(I8="DNF",$I$32,(VLOOKUP(J8,'Data sheet'!$B$3:$C$32,2,FALSE))))</f>
        <v>10</v>
      </c>
      <c r="L8" s="29"/>
      <c r="M8" s="93">
        <f>IF('Data sheet'!M5="","",'Data sheet'!M5)</f>
        <v>0.0076388888888888895</v>
      </c>
      <c r="N8" s="53">
        <f t="shared" si="2"/>
        <v>0.024212962962962964</v>
      </c>
      <c r="O8" s="51">
        <f t="shared" si="3"/>
        <v>1</v>
      </c>
      <c r="P8" s="52">
        <f>IF(O8="","",IF(O8="DNF",$I$32,VLOOKUP(O8,'Data sheet'!$B$3:$C$32,2,FALSE)))</f>
        <v>1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0.0076388888888888895</v>
      </c>
      <c r="S8" s="101">
        <f t="shared" si="4"/>
        <v>0.0076388888888888895</v>
      </c>
      <c r="T8" s="103">
        <f t="shared" si="5"/>
        <v>0.006250000000000001</v>
      </c>
      <c r="U8" s="104">
        <f t="shared" si="6"/>
        <v>0.006250000000000001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40</v>
      </c>
      <c r="G9" s="10" t="s">
        <v>112</v>
      </c>
      <c r="H9" s="12">
        <v>16</v>
      </c>
      <c r="I9" s="50">
        <f t="shared" si="0"/>
        <v>0.027962962962962964</v>
      </c>
      <c r="J9" s="51">
        <f t="shared" si="1"/>
        <v>5</v>
      </c>
      <c r="K9" s="52">
        <f>IF(ISERROR(VLOOKUP(J9,'Data sheet'!$B$3:$C$32,2,FALSE)),"",IF(I9="DNF",$I$32,(VLOOKUP(J9,'Data sheet'!$B$3:$C$32,2,FALSE))))</f>
        <v>5</v>
      </c>
      <c r="L9" s="29"/>
      <c r="M9" s="93">
        <f>IF('Data sheet'!M6="","",'Data sheet'!M6)</f>
        <v>0.0027777777777777788</v>
      </c>
      <c r="N9" s="53">
        <f t="shared" si="2"/>
        <v>0.025185185185185185</v>
      </c>
      <c r="O9" s="51">
        <f t="shared" si="3"/>
        <v>4</v>
      </c>
      <c r="P9" s="52">
        <f>IF(O9="","",IF(O9="DNF",$I$32,VLOOKUP(O9,'Data sheet'!$B$3:$C$32,2,FALSE)))</f>
        <v>4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0.004861111111111112</v>
      </c>
      <c r="S9" s="101">
        <f t="shared" si="4"/>
        <v>0.004861111111111112</v>
      </c>
      <c r="T9" s="103">
        <f t="shared" si="5"/>
        <v>0.0034722222222222238</v>
      </c>
      <c r="U9" s="104">
        <f t="shared" si="6"/>
        <v>0.0034722222222222238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37</v>
      </c>
      <c r="G10" s="10" t="s">
        <v>112</v>
      </c>
      <c r="H10" s="12">
        <v>50</v>
      </c>
      <c r="I10" s="50">
        <f t="shared" si="0"/>
        <v>0.026273148148148153</v>
      </c>
      <c r="J10" s="51">
        <f t="shared" si="1"/>
        <v>2</v>
      </c>
      <c r="K10" s="52">
        <f>IF(ISERROR(VLOOKUP(J10,'Data sheet'!$B$3:$C$32,2,FALSE)),"",IF(I10="DNF",$I$32,(VLOOKUP(J10,'Data sheet'!$B$3:$C$32,2,FALSE))))</f>
        <v>2</v>
      </c>
      <c r="L10" s="29"/>
      <c r="M10" s="93">
        <f>IF('Data sheet'!M7="","",'Data sheet'!M7)</f>
        <v>4.336808689942018E-19</v>
      </c>
      <c r="N10" s="53">
        <f t="shared" si="2"/>
        <v>0.026273148148148153</v>
      </c>
      <c r="O10" s="51">
        <f t="shared" si="3"/>
        <v>6</v>
      </c>
      <c r="P10" s="52">
        <f>IF(O10="","",IF(O10="DNF",$I$32,VLOOKUP(O10,'Data sheet'!$B$3:$C$32,2,FALSE)))</f>
        <v>6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0.0020833333333333337</v>
      </c>
      <c r="S10" s="101">
        <f t="shared" si="4"/>
        <v>0.0020833333333333337</v>
      </c>
      <c r="T10" s="103">
        <f t="shared" si="5"/>
        <v>0.0006944444444444454</v>
      </c>
      <c r="U10" s="104">
        <f t="shared" si="6"/>
        <v>0.0006944444444444454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39</v>
      </c>
      <c r="G11" s="10" t="s">
        <v>112</v>
      </c>
      <c r="H11" s="12">
        <v>15</v>
      </c>
      <c r="I11" s="50">
        <f t="shared" si="0"/>
        <v>0.027256944444444445</v>
      </c>
      <c r="J11" s="51">
        <f t="shared" si="1"/>
        <v>4</v>
      </c>
      <c r="K11" s="52">
        <f>IF(ISERROR(VLOOKUP(J11,'Data sheet'!$B$3:$C$32,2,FALSE)),"",IF(I11="DNF",$I$32,(VLOOKUP(J11,'Data sheet'!$B$3:$C$32,2,FALSE))))</f>
        <v>4</v>
      </c>
      <c r="L11" s="29"/>
      <c r="M11" s="93">
        <f>IF('Data sheet'!M8="","",'Data sheet'!M8)</f>
        <v>0.002083333333333334</v>
      </c>
      <c r="N11" s="53">
        <f t="shared" si="2"/>
        <v>0.025173611111111112</v>
      </c>
      <c r="O11" s="51">
        <f t="shared" si="3"/>
        <v>3</v>
      </c>
      <c r="P11" s="52">
        <f>IF(O11="","",IF(O11="DNF",$I$32,VLOOKUP(O11,'Data sheet'!$B$3:$C$32,2,FALSE)))</f>
        <v>3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0.003472222222222223</v>
      </c>
      <c r="S11" s="101">
        <f t="shared" si="4"/>
        <v>0.003472222222222223</v>
      </c>
      <c r="T11" s="103">
        <f t="shared" si="5"/>
        <v>0.0020833333333333346</v>
      </c>
      <c r="U11" s="104">
        <f t="shared" si="6"/>
        <v>0.0020833333333333346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40</v>
      </c>
      <c r="G12" s="10" t="s">
        <v>112</v>
      </c>
      <c r="H12" s="12">
        <v>29</v>
      </c>
      <c r="I12" s="50">
        <f t="shared" si="0"/>
        <v>0.028113425925925927</v>
      </c>
      <c r="J12" s="51">
        <f t="shared" si="1"/>
        <v>6</v>
      </c>
      <c r="K12" s="52">
        <f>IF(ISERROR(VLOOKUP(J12,'Data sheet'!$B$3:$C$32,2,FALSE)),"",IF(I12="DNF",$I$32,(VLOOKUP(J12,'Data sheet'!$B$3:$C$32,2,FALSE))))</f>
        <v>6</v>
      </c>
      <c r="L12" s="29"/>
      <c r="M12" s="93">
        <f>IF('Data sheet'!M9="","",'Data sheet'!M9)</f>
        <v>0.0006944444444444446</v>
      </c>
      <c r="N12" s="53">
        <f t="shared" si="2"/>
        <v>0.02741898148148148</v>
      </c>
      <c r="O12" s="51">
        <f t="shared" si="3"/>
        <v>10</v>
      </c>
      <c r="P12" s="52">
        <f>IF(O12="","",IF(O12="DNF",$I$32,VLOOKUP(O12,'Data sheet'!$B$3:$C$32,2,FALSE)))</f>
        <v>10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4"/>
        <v>0.002777777777777778</v>
      </c>
      <c r="T12" s="103">
        <f t="shared" si="5"/>
        <v>0.0013888888888888896</v>
      </c>
      <c r="U12" s="104">
        <f t="shared" si="6"/>
        <v>0.0013888888888888896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41</v>
      </c>
      <c r="G13" s="10" t="s">
        <v>112</v>
      </c>
      <c r="H13" s="12">
        <v>22</v>
      </c>
      <c r="I13" s="50">
        <f t="shared" si="0"/>
        <v>0.02872685185185185</v>
      </c>
      <c r="J13" s="51">
        <f t="shared" si="1"/>
        <v>8</v>
      </c>
      <c r="K13" s="52">
        <f>IF(ISERROR(VLOOKUP(J13,'Data sheet'!$B$3:$C$32,2,FALSE)),"",IF(I13="DNF",$I$32,(VLOOKUP(J13,'Data sheet'!$B$3:$C$32,2,FALSE))))</f>
        <v>8</v>
      </c>
      <c r="L13" s="29"/>
      <c r="M13" s="93">
        <f>IF('Data sheet'!M10="","",'Data sheet'!M10)</f>
        <v>0.002083333333333336</v>
      </c>
      <c r="N13" s="53">
        <f t="shared" si="2"/>
        <v>0.026643518518518514</v>
      </c>
      <c r="O13" s="51">
        <f t="shared" si="3"/>
        <v>8</v>
      </c>
      <c r="P13" s="52">
        <f>IF(O13="","",IF(O13="DNF",$I$32,VLOOKUP(O13,'Data sheet'!$B$3:$C$32,2,FALSE)))</f>
        <v>8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0.004166666666666669</v>
      </c>
      <c r="S13" s="101">
        <f t="shared" si="4"/>
        <v>0.004166666666666669</v>
      </c>
      <c r="T13" s="103">
        <f t="shared" si="5"/>
        <v>0.002777777777777781</v>
      </c>
      <c r="U13" s="104">
        <f t="shared" si="6"/>
        <v>0.002777777777777781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42</v>
      </c>
      <c r="G14" s="10" t="s">
        <v>112</v>
      </c>
      <c r="H14" s="12">
        <v>35</v>
      </c>
      <c r="I14" s="50">
        <f t="shared" si="0"/>
        <v>0.02957175925925926</v>
      </c>
      <c r="J14" s="51">
        <f t="shared" si="1"/>
        <v>9</v>
      </c>
      <c r="K14" s="52">
        <f>IF(ISERROR(VLOOKUP(J14,'Data sheet'!$B$3:$C$32,2,FALSE)),"",IF(I14="DNF",$I$32,(VLOOKUP(J14,'Data sheet'!$B$3:$C$32,2,FALSE))))</f>
        <v>9</v>
      </c>
      <c r="L14" s="29"/>
      <c r="M14" s="93">
        <f>IF('Data sheet'!M11="","",'Data sheet'!M11)</f>
        <v>0.0041666666666666675</v>
      </c>
      <c r="N14" s="53">
        <f t="shared" si="2"/>
        <v>0.02540509259259259</v>
      </c>
      <c r="O14" s="51">
        <f t="shared" si="3"/>
        <v>5</v>
      </c>
      <c r="P14" s="52">
        <f>IF(O14="","",IF(O14="DNF",$I$32,VLOOKUP(O14,'Data sheet'!$B$3:$C$32,2,FALSE)))</f>
        <v>5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0.00625</v>
      </c>
      <c r="S14" s="101">
        <f t="shared" si="4"/>
        <v>0.00625</v>
      </c>
      <c r="T14" s="103">
        <f t="shared" si="5"/>
        <v>0.004861111111111112</v>
      </c>
      <c r="U14" s="104">
        <f t="shared" si="6"/>
        <v>0.004861111111111112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38</v>
      </c>
      <c r="G15" s="10" t="s">
        <v>112</v>
      </c>
      <c r="H15" s="12">
        <v>11</v>
      </c>
      <c r="I15" s="50">
        <f t="shared" si="0"/>
        <v>0.026516203703703698</v>
      </c>
      <c r="J15" s="51">
        <f t="shared" si="1"/>
        <v>3</v>
      </c>
      <c r="K15" s="52">
        <f>IF(ISERROR(VLOOKUP(J15,'Data sheet'!$B$3:$C$32,2,FALSE)),"",IF(I15="DNF",$I$32,(VLOOKUP(J15,'Data sheet'!$B$3:$C$32,2,FALSE))))</f>
        <v>3</v>
      </c>
      <c r="L15" s="29"/>
      <c r="M15" s="93">
        <f>IF('Data sheet'!M12="","",'Data sheet'!M12)</f>
        <v>0</v>
      </c>
      <c r="N15" s="53">
        <f t="shared" si="2"/>
        <v>0.026516203703703698</v>
      </c>
      <c r="O15" s="51">
        <f t="shared" si="3"/>
        <v>7</v>
      </c>
      <c r="P15" s="52">
        <f>IF(O15="","",IF(O15="DNF",$I$32,VLOOKUP(O15,'Data sheet'!$B$3:$C$32,2,FALSE)))</f>
        <v>7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4"/>
        <v>0.0020833333333333333</v>
      </c>
      <c r="T15" s="103">
        <f t="shared" si="5"/>
        <v>0.000694444444444445</v>
      </c>
      <c r="U15" s="104">
        <f t="shared" si="6"/>
        <v>0.000694444444444445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sheet'!M13="","",'Data sheet'!M13)</f>
      </c>
      <c r="N16" s="53">
        <f t="shared" si="2"/>
      </c>
      <c r="O16" s="51">
        <f t="shared" si="3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4"/>
      </c>
      <c r="T16" s="103">
        <f t="shared" si="5"/>
      </c>
      <c r="U16" s="104">
        <f t="shared" si="6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sheet'!M14="","",'Data sheet'!M14)</f>
      </c>
      <c r="N17" s="53">
        <f t="shared" si="2"/>
      </c>
      <c r="O17" s="51">
        <f t="shared" si="3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4"/>
      </c>
      <c r="T17" s="103">
        <f t="shared" si="5"/>
      </c>
      <c r="U17" s="104">
        <f t="shared" si="6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sheet'!M15="","",'Data sheet'!M15)</f>
      </c>
      <c r="N18" s="53">
        <f t="shared" si="2"/>
      </c>
      <c r="O18" s="51">
        <f t="shared" si="3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4"/>
      </c>
      <c r="T18" s="103">
        <f t="shared" si="5"/>
      </c>
      <c r="U18" s="104">
        <f t="shared" si="6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sheet'!M16="","",'Data sheet'!M16)</f>
      </c>
      <c r="N19" s="53">
        <f t="shared" si="2"/>
      </c>
      <c r="O19" s="51">
        <f t="shared" si="3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4"/>
      </c>
      <c r="T19" s="103">
        <f t="shared" si="5"/>
      </c>
      <c r="U19" s="104">
        <f t="shared" si="6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sheet'!M17="","",'Data sheet'!M17)</f>
      </c>
      <c r="N20" s="53">
        <f t="shared" si="2"/>
      </c>
      <c r="O20" s="51">
        <f t="shared" si="3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4"/>
      </c>
      <c r="T20" s="103">
        <f t="shared" si="5"/>
      </c>
      <c r="U20" s="104">
        <f t="shared" si="6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sheet'!M18="","",'Data sheet'!M18)</f>
      </c>
      <c r="N21" s="53">
        <f t="shared" si="2"/>
      </c>
      <c r="O21" s="51">
        <f t="shared" si="3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4"/>
      </c>
      <c r="T21" s="103">
        <f t="shared" si="5"/>
      </c>
      <c r="U21" s="104">
        <f t="shared" si="6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sheet'!M19="","",'Data sheet'!M19)</f>
      </c>
      <c r="N22" s="53">
        <f t="shared" si="2"/>
      </c>
      <c r="O22" s="51">
        <f t="shared" si="3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4"/>
      </c>
      <c r="T22" s="103">
        <f t="shared" si="5"/>
      </c>
      <c r="U22" s="104">
        <f t="shared" si="6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sheet'!M20="","",'Data sheet'!M20)</f>
      </c>
      <c r="N23" s="53">
        <f t="shared" si="2"/>
      </c>
      <c r="O23" s="51">
        <f t="shared" si="3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4"/>
      </c>
      <c r="T23" s="103">
        <f t="shared" si="5"/>
      </c>
      <c r="U23" s="104">
        <f t="shared" si="6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sheet'!M21="","",'Data sheet'!M21)</f>
      </c>
      <c r="N24" s="53">
        <f t="shared" si="2"/>
      </c>
      <c r="O24" s="51">
        <f t="shared" si="3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4"/>
      </c>
      <c r="T24" s="103">
        <f t="shared" si="5"/>
      </c>
      <c r="U24" s="104">
        <f t="shared" si="6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sheet'!M22="","",'Data sheet'!M22)</f>
      </c>
      <c r="N25" s="53">
        <f t="shared" si="2"/>
      </c>
      <c r="O25" s="51">
        <f t="shared" si="3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4"/>
      </c>
      <c r="T25" s="103">
        <f t="shared" si="5"/>
      </c>
      <c r="U25" s="104">
        <f t="shared" si="6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sheet'!M23="","",'Data sheet'!M23)</f>
      </c>
      <c r="N26" s="53">
        <f t="shared" si="2"/>
      </c>
      <c r="O26" s="51">
        <f t="shared" si="3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4"/>
      </c>
      <c r="T26" s="103">
        <f t="shared" si="5"/>
      </c>
      <c r="U26" s="104">
        <f t="shared" si="6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sheet'!M24="","",'Data sheet'!M24)</f>
      </c>
      <c r="N27" s="53">
        <f t="shared" si="2"/>
      </c>
      <c r="O27" s="51">
        <f t="shared" si="3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4"/>
      </c>
      <c r="T27" s="103">
        <f t="shared" si="5"/>
      </c>
      <c r="U27" s="104">
        <f t="shared" si="6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sheet'!M25="","",'Data sheet'!M25)</f>
      </c>
      <c r="N28" s="53">
        <f t="shared" si="2"/>
      </c>
      <c r="O28" s="51">
        <f t="shared" si="3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4"/>
      </c>
      <c r="T28" s="103">
        <f t="shared" si="5"/>
      </c>
      <c r="U28" s="104">
        <f t="shared" si="6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sheet'!M26="","",'Data sheet'!M26)</f>
      </c>
      <c r="N29" s="53">
        <f t="shared" si="2"/>
      </c>
      <c r="O29" s="51">
        <f t="shared" si="3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4"/>
      </c>
      <c r="T29" s="103">
        <f t="shared" si="5"/>
      </c>
      <c r="U29" s="104">
        <f t="shared" si="6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sheet'!M27="","",'Data sheet'!M27)</f>
      </c>
      <c r="N30" s="53">
        <f t="shared" si="2"/>
      </c>
      <c r="O30" s="51">
        <f t="shared" si="3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4"/>
      </c>
      <c r="T30" s="103">
        <f t="shared" si="5"/>
      </c>
      <c r="U30" s="104">
        <f t="shared" si="6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0.0013888888888888883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2" right="0.22" top="0.37" bottom="0.22" header="0.18" footer="0.17"/>
  <pageSetup fitToHeight="1" fitToWidth="1" horizontalDpi="600" verticalDpi="600" orientation="landscape" paperSize="9" scale="99"/>
  <headerFooter alignWithMargins="0">
    <oddHeader>&amp;C&amp;F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B1:Y32"/>
  <sheetViews>
    <sheetView zoomScale="125" zoomScaleNormal="125" zoomScalePageLayoutView="0" workbookViewId="0" topLeftCell="A1">
      <selection activeCell="J19" sqref="J19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8515625" style="23" bestFit="1" customWidth="1"/>
    <col min="5" max="5" width="1.421875" style="23" bestFit="1" customWidth="1"/>
    <col min="6" max="6" width="4.140625" style="23" bestFit="1" customWidth="1"/>
    <col min="7" max="7" width="1.421875" style="23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12.8515625" style="23" hidden="1" customWidth="1"/>
    <col min="18" max="18" width="17.28125" style="23" hidden="1" customWidth="1"/>
    <col min="19" max="19" width="15.421875" style="23" hidden="1" customWidth="1"/>
    <col min="20" max="20" width="27.281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43112</v>
      </c>
    </row>
    <row r="2" ht="12.75"/>
    <row r="3" spans="2:15" ht="18" customHeight="1">
      <c r="B3" s="40" t="s">
        <v>84</v>
      </c>
      <c r="C3" s="41" t="s">
        <v>100</v>
      </c>
      <c r="D3" s="71">
        <v>2</v>
      </c>
      <c r="E3" s="42"/>
      <c r="F3" s="42"/>
      <c r="G3" s="42"/>
      <c r="H3" s="42"/>
      <c r="I3" s="43" t="s">
        <v>122</v>
      </c>
      <c r="J3" s="163" t="s">
        <v>10</v>
      </c>
      <c r="K3" s="164"/>
      <c r="N3" s="43" t="s">
        <v>123</v>
      </c>
      <c r="O3" s="72" t="s">
        <v>11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45</v>
      </c>
      <c r="G6" s="10" t="s">
        <v>112</v>
      </c>
      <c r="H6" s="12">
        <v>15</v>
      </c>
      <c r="I6" s="50">
        <f aca="true" t="shared" si="0" ref="I6:I30">IF(TIMEVALUE(D6&amp;":"&amp;F6&amp;":"&amp;H6)=0,"",TIMEVALUE(D6&amp;":"&amp;F6&amp;":"&amp;H6)-$I$4)</f>
        <v>0.03142361111111111</v>
      </c>
      <c r="J6" s="51">
        <f aca="true" t="shared" si="1" ref="J6:J30">IF(ISERROR(IF(I6="DNS","DNS",IF(I6="DNF","DNF",IF(I6="DSQ","DSQ",RANK(I6,I$6:I$30,1))))),"",IF(I6="DNS","DNS",IF(I6="DNF","DNF",IF(I6="DSQ","DSQ",RANK(I6,I$6:I$30,1)))))</f>
        <v>6</v>
      </c>
      <c r="K6" s="52">
        <f>IF(ISERROR(VLOOKUP(J6,'Data sheet'!$B$3:$C$32,2,FALSE)),"",IF(I6="DNF",$I$32,(VLOOKUP(J6,'Data sheet'!$B$3:$C$32,2,FALSE))))</f>
        <v>6</v>
      </c>
      <c r="L6" s="29"/>
      <c r="M6" s="93">
        <f>IF('Data sheet'!N3="","",'Data sheet'!N3)</f>
        <v>0.0020833333333333333</v>
      </c>
      <c r="N6" s="53">
        <f>IF(I6="","",IF($C$1="Handicap",I6,IF(I6="DNS","DNS",IF(I6="DNF","DNF",IF(I6="DSQ","DSQ",I6-M6)))))</f>
        <v>0.029340277777777778</v>
      </c>
      <c r="O6" s="51">
        <f>IF(I6="","",IF(N6="DNS","DNS",IF(N6="DNF","DNF",IF(N6="DSQ","DSQ",RANK(N6,N$6:N$30,1)))))</f>
        <v>4</v>
      </c>
      <c r="P6" s="52">
        <f>IF(O6="","",IF(O6="DNF",$I$32,VLOOKUP(O6,'Data sheet'!$B$3:$C$32,2,FALSE)))</f>
        <v>4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0.004166666666666667</v>
      </c>
      <c r="S6" s="101">
        <f>R6</f>
        <v>0.004166666666666667</v>
      </c>
      <c r="T6" s="103">
        <f>IF(R6="","",S6-S$32)</f>
        <v>0.0027777777777777766</v>
      </c>
      <c r="U6" s="104">
        <f>IF(T6=0,0,IF(O6="DNS",M6,IF(O6="DSQ",M6,T6)))</f>
        <v>0.0027777777777777766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42</v>
      </c>
      <c r="G7" s="10" t="s">
        <v>112</v>
      </c>
      <c r="H7" s="12">
        <v>29</v>
      </c>
      <c r="I7" s="50">
        <f t="shared" si="0"/>
        <v>0.029502314814814815</v>
      </c>
      <c r="J7" s="51">
        <f t="shared" si="1"/>
        <v>2</v>
      </c>
      <c r="K7" s="52">
        <f>IF(ISERROR(VLOOKUP(J7,'Data sheet'!$B$3:$C$32,2,FALSE)),"",IF(I7="DNF",$I$32,(VLOOKUP(J7,'Data sheet'!$B$3:$C$32,2,FALSE))))</f>
        <v>2</v>
      </c>
      <c r="L7" s="29"/>
      <c r="M7" s="93">
        <f>IF('Data sheet'!N4="","",'Data sheet'!N4)</f>
        <v>0</v>
      </c>
      <c r="N7" s="53">
        <f aca="true" t="shared" si="2" ref="N7:N30">IF(I7="","",IF($C$1="Handicap",I7,IF(I7="DNS","DNS",IF(I7="DNF","DNF",IF(I7="DSQ","DSQ",I7-M7)))))</f>
        <v>0.029502314814814815</v>
      </c>
      <c r="O7" s="51">
        <f aca="true" t="shared" si="3" ref="O7:O30">IF(I7="","",IF(N7="DNS","DNS",IF(N7="DNF","DNF",IF(N7="DSQ","DSQ",RANK(N7,N$6:N$30,1)))))</f>
        <v>5</v>
      </c>
      <c r="P7" s="52">
        <f>IF(O7="","",IF(O7="DNF",$I$32,VLOOKUP(O7,'Data sheet'!$B$3:$C$32,2,FALSE)))</f>
        <v>5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0.0020833333333333333</v>
      </c>
      <c r="S7" s="101">
        <f aca="true" t="shared" si="4" ref="S7:S30">R7</f>
        <v>0.0020833333333333333</v>
      </c>
      <c r="T7" s="103">
        <f aca="true" t="shared" si="5" ref="T7:T30">IF(R7="","",S7-S$32)</f>
        <v>0.0006944444444444433</v>
      </c>
      <c r="U7" s="104">
        <f aca="true" t="shared" si="6" ref="U7:U30">IF(T7=0,0,IF(O7="DNS",M7,IF(O7="DSQ",M7,T7)))</f>
        <v>0.0006944444444444433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55</v>
      </c>
      <c r="G8" s="10" t="s">
        <v>112</v>
      </c>
      <c r="H8" s="12">
        <v>40</v>
      </c>
      <c r="I8" s="50">
        <f t="shared" si="0"/>
        <v>0.038657407407407404</v>
      </c>
      <c r="J8" s="51">
        <f t="shared" si="1"/>
        <v>10</v>
      </c>
      <c r="K8" s="52">
        <f>IF(ISERROR(VLOOKUP(J8,'Data sheet'!$B$3:$C$32,2,FALSE)),"",IF(I8="DNF",$I$32,(VLOOKUP(J8,'Data sheet'!$B$3:$C$32,2,FALSE))))</f>
        <v>10</v>
      </c>
      <c r="L8" s="29"/>
      <c r="M8" s="93">
        <f>IF('Data sheet'!N5="","",'Data sheet'!N5)</f>
        <v>0.006250000000000001</v>
      </c>
      <c r="N8" s="53">
        <f t="shared" si="2"/>
        <v>0.032407407407407406</v>
      </c>
      <c r="O8" s="51">
        <f t="shared" si="3"/>
        <v>10</v>
      </c>
      <c r="P8" s="52">
        <f>IF(O8="","",IF(O8="DNF",$I$32,VLOOKUP(O8,'Data sheet'!$B$3:$C$32,2,FALSE)))</f>
        <v>10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0.008333333333333335</v>
      </c>
      <c r="S8" s="101">
        <f t="shared" si="4"/>
        <v>0.008333333333333335</v>
      </c>
      <c r="T8" s="103">
        <f t="shared" si="5"/>
        <v>0.006944444444444445</v>
      </c>
      <c r="U8" s="104">
        <f t="shared" si="6"/>
        <v>0.006944444444444445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48</v>
      </c>
      <c r="G9" s="10" t="s">
        <v>112</v>
      </c>
      <c r="H9" s="12">
        <v>11</v>
      </c>
      <c r="I9" s="50">
        <f t="shared" si="0"/>
        <v>0.03346064814814815</v>
      </c>
      <c r="J9" s="51">
        <f t="shared" si="1"/>
        <v>7</v>
      </c>
      <c r="K9" s="52">
        <f>IF(ISERROR(VLOOKUP(J9,'Data sheet'!$B$3:$C$32,2,FALSE)),"",IF(I9="DNF",$I$32,(VLOOKUP(J9,'Data sheet'!$B$3:$C$32,2,FALSE))))</f>
        <v>7</v>
      </c>
      <c r="L9" s="29"/>
      <c r="M9" s="93">
        <f>IF('Data sheet'!N6="","",'Data sheet'!N6)</f>
        <v>0.0034722222222222238</v>
      </c>
      <c r="N9" s="53">
        <f t="shared" si="2"/>
        <v>0.029988425925925925</v>
      </c>
      <c r="O9" s="51">
        <f t="shared" si="3"/>
        <v>8</v>
      </c>
      <c r="P9" s="52">
        <f>IF(O9="","",IF(O9="DNF",$I$32,VLOOKUP(O9,'Data sheet'!$B$3:$C$32,2,FALSE)))</f>
        <v>8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0.005555555555555557</v>
      </c>
      <c r="S9" s="101">
        <f t="shared" si="4"/>
        <v>0.005555555555555557</v>
      </c>
      <c r="T9" s="103">
        <f t="shared" si="5"/>
        <v>0.004166666666666667</v>
      </c>
      <c r="U9" s="104">
        <f t="shared" si="6"/>
        <v>0.004166666666666667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42</v>
      </c>
      <c r="G10" s="10" t="s">
        <v>112</v>
      </c>
      <c r="H10" s="12">
        <v>23</v>
      </c>
      <c r="I10" s="50">
        <f t="shared" si="0"/>
        <v>0.02943287037037037</v>
      </c>
      <c r="J10" s="51">
        <f t="shared" si="1"/>
        <v>1</v>
      </c>
      <c r="K10" s="52">
        <f>IF(ISERROR(VLOOKUP(J10,'Data sheet'!$B$3:$C$32,2,FALSE)),"",IF(I10="DNF",$I$32,(VLOOKUP(J10,'Data sheet'!$B$3:$C$32,2,FALSE))))</f>
        <v>1</v>
      </c>
      <c r="L10" s="29"/>
      <c r="M10" s="93">
        <f>IF('Data sheet'!N7="","",'Data sheet'!N7)</f>
        <v>0.0006944444444444454</v>
      </c>
      <c r="N10" s="53">
        <f t="shared" si="2"/>
        <v>0.028738425925925924</v>
      </c>
      <c r="O10" s="51">
        <f t="shared" si="3"/>
        <v>2</v>
      </c>
      <c r="P10" s="52">
        <f>IF(O10="","",IF(O10="DNF",$I$32,VLOOKUP(O10,'Data sheet'!$B$3:$C$32,2,FALSE)))</f>
        <v>2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0.00138888888888889</v>
      </c>
      <c r="S10" s="101">
        <f t="shared" si="4"/>
        <v>0.00138888888888889</v>
      </c>
      <c r="T10" s="103">
        <f t="shared" si="5"/>
        <v>0</v>
      </c>
      <c r="U10" s="104">
        <f t="shared" si="6"/>
        <v>0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43</v>
      </c>
      <c r="G11" s="10" t="s">
        <v>112</v>
      </c>
      <c r="H11" s="12">
        <v>32</v>
      </c>
      <c r="I11" s="50">
        <f t="shared" si="0"/>
        <v>0.03023148148148148</v>
      </c>
      <c r="J11" s="51">
        <f t="shared" si="1"/>
        <v>3</v>
      </c>
      <c r="K11" s="52">
        <f>IF(ISERROR(VLOOKUP(J11,'Data sheet'!$B$3:$C$32,2,FALSE)),"",IF(I11="DNF",$I$32,(VLOOKUP(J11,'Data sheet'!$B$3:$C$32,2,FALSE))))</f>
        <v>3</v>
      </c>
      <c r="L11" s="29"/>
      <c r="M11" s="93">
        <f>IF('Data sheet'!N8="","",'Data sheet'!N8)</f>
        <v>0.0020833333333333346</v>
      </c>
      <c r="N11" s="53">
        <f t="shared" si="2"/>
        <v>0.028148148148148144</v>
      </c>
      <c r="O11" s="51">
        <f t="shared" si="3"/>
        <v>1</v>
      </c>
      <c r="P11" s="52">
        <f>IF(O11="","",IF(O11="DNF",$I$32,VLOOKUP(O11,'Data sheet'!$B$3:$C$32,2,FALSE)))</f>
        <v>1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0.0020833333333333346</v>
      </c>
      <c r="S11" s="101">
        <f t="shared" si="4"/>
        <v>0.0020833333333333346</v>
      </c>
      <c r="T11" s="103">
        <f t="shared" si="5"/>
        <v>0.0006944444444444446</v>
      </c>
      <c r="U11" s="104">
        <f t="shared" si="6"/>
        <v>0.0006944444444444446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44</v>
      </c>
      <c r="G12" s="10" t="s">
        <v>112</v>
      </c>
      <c r="H12" s="12">
        <v>57</v>
      </c>
      <c r="I12" s="50">
        <f t="shared" si="0"/>
        <v>0.031215277777777783</v>
      </c>
      <c r="J12" s="51">
        <f t="shared" si="1"/>
        <v>5</v>
      </c>
      <c r="K12" s="52">
        <f>IF(ISERROR(VLOOKUP(J12,'Data sheet'!$B$3:$C$32,2,FALSE)),"",IF(I12="DNF",$I$32,(VLOOKUP(J12,'Data sheet'!$B$3:$C$32,2,FALSE))))</f>
        <v>5</v>
      </c>
      <c r="L12" s="29"/>
      <c r="M12" s="93">
        <f>IF('Data sheet'!N9="","",'Data sheet'!N9)</f>
        <v>0.0013888888888888896</v>
      </c>
      <c r="N12" s="53">
        <f t="shared" si="2"/>
        <v>0.029826388888888892</v>
      </c>
      <c r="O12" s="51">
        <f t="shared" si="3"/>
        <v>7</v>
      </c>
      <c r="P12" s="52">
        <f>IF(O12="","",IF(O12="DNF",$I$32,VLOOKUP(O12,'Data sheet'!$B$3:$C$32,2,FALSE)))</f>
        <v>7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0.003472222222222223</v>
      </c>
      <c r="S12" s="101">
        <f t="shared" si="4"/>
        <v>0.003472222222222223</v>
      </c>
      <c r="T12" s="103">
        <f t="shared" si="5"/>
        <v>0.002083333333333333</v>
      </c>
      <c r="U12" s="104">
        <f t="shared" si="6"/>
        <v>0.002083333333333333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48</v>
      </c>
      <c r="G13" s="10" t="s">
        <v>112</v>
      </c>
      <c r="H13" s="12">
        <v>13</v>
      </c>
      <c r="I13" s="50">
        <f t="shared" si="0"/>
        <v>0.033483796296296296</v>
      </c>
      <c r="J13" s="51">
        <f t="shared" si="1"/>
        <v>8</v>
      </c>
      <c r="K13" s="52">
        <f>IF(ISERROR(VLOOKUP(J13,'Data sheet'!$B$3:$C$32,2,FALSE)),"",IF(I13="DNF",$I$32,(VLOOKUP(J13,'Data sheet'!$B$3:$C$32,2,FALSE))))</f>
        <v>8</v>
      </c>
      <c r="L13" s="29"/>
      <c r="M13" s="93">
        <f>IF('Data sheet'!N10="","",'Data sheet'!N10)</f>
        <v>0.002777777777777781</v>
      </c>
      <c r="N13" s="53">
        <f t="shared" si="2"/>
        <v>0.030706018518518514</v>
      </c>
      <c r="O13" s="51">
        <f t="shared" si="3"/>
        <v>9</v>
      </c>
      <c r="P13" s="52">
        <f>IF(O13="","",IF(O13="DNF",$I$32,VLOOKUP(O13,'Data sheet'!$B$3:$C$32,2,FALSE)))</f>
        <v>9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0.004861111111111115</v>
      </c>
      <c r="S13" s="101">
        <f t="shared" si="4"/>
        <v>0.004861111111111115</v>
      </c>
      <c r="T13" s="103">
        <f t="shared" si="5"/>
        <v>0.0034722222222222246</v>
      </c>
      <c r="U13" s="104">
        <f t="shared" si="6"/>
        <v>0.0034722222222222246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48</v>
      </c>
      <c r="G14" s="10" t="s">
        <v>112</v>
      </c>
      <c r="H14" s="12">
        <v>52</v>
      </c>
      <c r="I14" s="50">
        <f t="shared" si="0"/>
        <v>0.033935185185185186</v>
      </c>
      <c r="J14" s="51">
        <f t="shared" si="1"/>
        <v>9</v>
      </c>
      <c r="K14" s="52">
        <f>IF(ISERROR(VLOOKUP(J14,'Data sheet'!$B$3:$C$32,2,FALSE)),"",IF(I14="DNF",$I$32,(VLOOKUP(J14,'Data sheet'!$B$3:$C$32,2,FALSE))))</f>
        <v>9</v>
      </c>
      <c r="L14" s="29"/>
      <c r="M14" s="93">
        <f>IF('Data sheet'!N11="","",'Data sheet'!N11)</f>
        <v>0.004861111111111112</v>
      </c>
      <c r="N14" s="53">
        <f t="shared" si="2"/>
        <v>0.029074074074074075</v>
      </c>
      <c r="O14" s="51">
        <f t="shared" si="3"/>
        <v>3</v>
      </c>
      <c r="P14" s="52">
        <f>IF(O14="","",IF(O14="DNF",$I$32,VLOOKUP(O14,'Data sheet'!$B$3:$C$32,2,FALSE)))</f>
        <v>3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0.006250000000000001</v>
      </c>
      <c r="S14" s="101">
        <f t="shared" si="4"/>
        <v>0.006250000000000001</v>
      </c>
      <c r="T14" s="103">
        <f t="shared" si="5"/>
        <v>0.004861111111111111</v>
      </c>
      <c r="U14" s="104">
        <f t="shared" si="6"/>
        <v>0.004861111111111111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43</v>
      </c>
      <c r="G15" s="10" t="s">
        <v>112</v>
      </c>
      <c r="H15" s="12">
        <v>47</v>
      </c>
      <c r="I15" s="50">
        <f t="shared" si="0"/>
        <v>0.03040509259259259</v>
      </c>
      <c r="J15" s="51">
        <f t="shared" si="1"/>
        <v>4</v>
      </c>
      <c r="K15" s="52">
        <f>IF(ISERROR(VLOOKUP(J15,'Data sheet'!$B$3:$C$32,2,FALSE)),"",IF(I15="DNF",$I$32,(VLOOKUP(J15,'Data sheet'!$B$3:$C$32,2,FALSE))))</f>
        <v>4</v>
      </c>
      <c r="L15" s="29"/>
      <c r="M15" s="93">
        <f>IF('Data sheet'!N12="","",'Data sheet'!N12)</f>
        <v>0.000694444444444445</v>
      </c>
      <c r="N15" s="53">
        <f t="shared" si="2"/>
        <v>0.029710648148148146</v>
      </c>
      <c r="O15" s="51">
        <f t="shared" si="3"/>
        <v>6</v>
      </c>
      <c r="P15" s="52">
        <f>IF(O15="","",IF(O15="DNF",$I$32,VLOOKUP(O15,'Data sheet'!$B$3:$C$32,2,FALSE)))</f>
        <v>6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0.0027777777777777783</v>
      </c>
      <c r="S15" s="101">
        <f t="shared" si="4"/>
        <v>0.0027777777777777783</v>
      </c>
      <c r="T15" s="103">
        <f t="shared" si="5"/>
        <v>0.0013888888888888883</v>
      </c>
      <c r="U15" s="104">
        <f t="shared" si="6"/>
        <v>0.0013888888888888883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sheet'!N13="","",'Data sheet'!N13)</f>
      </c>
      <c r="N16" s="53">
        <f t="shared" si="2"/>
      </c>
      <c r="O16" s="51">
        <f t="shared" si="3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4"/>
      </c>
      <c r="T16" s="103">
        <f t="shared" si="5"/>
      </c>
      <c r="U16" s="104">
        <f t="shared" si="6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sheet'!N14="","",'Data sheet'!N14)</f>
      </c>
      <c r="N17" s="53">
        <f t="shared" si="2"/>
      </c>
      <c r="O17" s="51">
        <f t="shared" si="3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4"/>
      </c>
      <c r="T17" s="103">
        <f t="shared" si="5"/>
      </c>
      <c r="U17" s="104">
        <f t="shared" si="6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sheet'!N15="","",'Data sheet'!N15)</f>
      </c>
      <c r="N18" s="53">
        <f t="shared" si="2"/>
      </c>
      <c r="O18" s="51">
        <f t="shared" si="3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4"/>
      </c>
      <c r="T18" s="103">
        <f t="shared" si="5"/>
      </c>
      <c r="U18" s="104">
        <f t="shared" si="6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sheet'!N16="","",'Data sheet'!N16)</f>
      </c>
      <c r="N19" s="53">
        <f t="shared" si="2"/>
      </c>
      <c r="O19" s="51">
        <f t="shared" si="3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4"/>
      </c>
      <c r="T19" s="103">
        <f t="shared" si="5"/>
      </c>
      <c r="U19" s="104">
        <f t="shared" si="6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sheet'!N17="","",'Data sheet'!N17)</f>
      </c>
      <c r="N20" s="53">
        <f t="shared" si="2"/>
      </c>
      <c r="O20" s="51">
        <f t="shared" si="3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4"/>
      </c>
      <c r="T20" s="103">
        <f t="shared" si="5"/>
      </c>
      <c r="U20" s="104">
        <f t="shared" si="6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sheet'!N18="","",'Data sheet'!N18)</f>
      </c>
      <c r="N21" s="53">
        <f t="shared" si="2"/>
      </c>
      <c r="O21" s="51">
        <f t="shared" si="3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4"/>
      </c>
      <c r="T21" s="103">
        <f t="shared" si="5"/>
      </c>
      <c r="U21" s="104">
        <f t="shared" si="6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sheet'!N19="","",'Data sheet'!N19)</f>
      </c>
      <c r="N22" s="53">
        <f t="shared" si="2"/>
      </c>
      <c r="O22" s="51">
        <f t="shared" si="3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4"/>
      </c>
      <c r="T22" s="103">
        <f t="shared" si="5"/>
      </c>
      <c r="U22" s="104">
        <f t="shared" si="6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sheet'!N20="","",'Data sheet'!N20)</f>
      </c>
      <c r="N23" s="53">
        <f t="shared" si="2"/>
      </c>
      <c r="O23" s="51">
        <f t="shared" si="3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4"/>
      </c>
      <c r="T23" s="103">
        <f t="shared" si="5"/>
      </c>
      <c r="U23" s="104">
        <f t="shared" si="6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sheet'!N21="","",'Data sheet'!N21)</f>
      </c>
      <c r="N24" s="53">
        <f t="shared" si="2"/>
      </c>
      <c r="O24" s="51">
        <f t="shared" si="3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4"/>
      </c>
      <c r="T24" s="103">
        <f t="shared" si="5"/>
      </c>
      <c r="U24" s="104">
        <f t="shared" si="6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sheet'!N22="","",'Data sheet'!N22)</f>
      </c>
      <c r="N25" s="53">
        <f t="shared" si="2"/>
      </c>
      <c r="O25" s="51">
        <f t="shared" si="3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4"/>
      </c>
      <c r="T25" s="103">
        <f t="shared" si="5"/>
      </c>
      <c r="U25" s="104">
        <f t="shared" si="6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sheet'!N23="","",'Data sheet'!N23)</f>
      </c>
      <c r="N26" s="53">
        <f t="shared" si="2"/>
      </c>
      <c r="O26" s="51">
        <f t="shared" si="3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4"/>
      </c>
      <c r="T26" s="103">
        <f t="shared" si="5"/>
      </c>
      <c r="U26" s="104">
        <f t="shared" si="6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sheet'!N24="","",'Data sheet'!N24)</f>
      </c>
      <c r="N27" s="53">
        <f t="shared" si="2"/>
      </c>
      <c r="O27" s="51">
        <f t="shared" si="3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4"/>
      </c>
      <c r="T27" s="103">
        <f t="shared" si="5"/>
      </c>
      <c r="U27" s="104">
        <f t="shared" si="6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sheet'!N25="","",'Data sheet'!N25)</f>
      </c>
      <c r="N28" s="53">
        <f t="shared" si="2"/>
      </c>
      <c r="O28" s="51">
        <f t="shared" si="3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4"/>
      </c>
      <c r="T28" s="103">
        <f t="shared" si="5"/>
      </c>
      <c r="U28" s="104">
        <f t="shared" si="6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sheet'!N26="","",'Data sheet'!N26)</f>
      </c>
      <c r="N29" s="53">
        <f t="shared" si="2"/>
      </c>
      <c r="O29" s="51">
        <f t="shared" si="3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4"/>
      </c>
      <c r="T29" s="103">
        <f t="shared" si="5"/>
      </c>
      <c r="U29" s="104">
        <f t="shared" si="6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sheet'!N27="","",'Data sheet'!N27)</f>
      </c>
      <c r="N30" s="53">
        <f t="shared" si="2"/>
      </c>
      <c r="O30" s="51">
        <f t="shared" si="3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4"/>
      </c>
      <c r="T30" s="103">
        <f t="shared" si="5"/>
      </c>
      <c r="U30" s="104">
        <f t="shared" si="6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0.00138888888888889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2" right="0.22" top="0.37" bottom="0.22" header="0.18" footer="0.17"/>
  <pageSetup fitToHeight="1" fitToWidth="1" horizontalDpi="600" verticalDpi="600" orientation="landscape" paperSize="9" scale="99"/>
  <headerFooter alignWithMargins="0">
    <oddHeader>&amp;C&amp;F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1:Y32"/>
  <sheetViews>
    <sheetView zoomScale="125" zoomScaleNormal="125" zoomScalePageLayoutView="0" workbookViewId="0" topLeftCell="A1">
      <selection activeCell="H8" sqref="H8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851562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7.8515625" style="23" hidden="1" customWidth="1"/>
    <col min="18" max="18" width="14.7109375" style="23" hidden="1" customWidth="1"/>
    <col min="19" max="19" width="18.140625" style="23" hidden="1" customWidth="1"/>
    <col min="20" max="20" width="27.42187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43113</v>
      </c>
    </row>
    <row r="2" ht="12.75"/>
    <row r="3" spans="2:15" ht="18" customHeight="1">
      <c r="B3" s="40" t="s">
        <v>86</v>
      </c>
      <c r="C3" s="41" t="s">
        <v>100</v>
      </c>
      <c r="D3" s="71">
        <v>1</v>
      </c>
      <c r="E3" s="42"/>
      <c r="F3" s="42"/>
      <c r="G3" s="42"/>
      <c r="H3" s="42"/>
      <c r="I3" s="43" t="s">
        <v>122</v>
      </c>
      <c r="J3" s="163" t="s">
        <v>106</v>
      </c>
      <c r="K3" s="164"/>
      <c r="N3" s="43" t="s">
        <v>123</v>
      </c>
      <c r="O3" s="72" t="s">
        <v>107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35</v>
      </c>
      <c r="G6" s="10" t="s">
        <v>112</v>
      </c>
      <c r="H6" s="12">
        <v>9</v>
      </c>
      <c r="I6" s="50">
        <f aca="true" t="shared" si="0" ref="I6:I30">IF(TIMEVALUE(D6&amp;":"&amp;F6&amp;":"&amp;H6)=0,"",TIMEVALUE(D6&amp;":"&amp;F6&amp;":"&amp;H6)-$I$4)</f>
        <v>0.02440972222222222</v>
      </c>
      <c r="J6" s="51">
        <f aca="true" t="shared" si="1" ref="J6:J30">IF(ISERROR(IF(I6="DNS","DNS",IF(I6="DNF","DNF",IF(I6="DSQ","DSQ",RANK(I6,I$6:I$30,1))))),"",IF(I6="DNS","DNS",IF(I6="DNF","DNF",IF(I6="DSQ","DSQ",RANK(I6,I$6:I$30,1)))))</f>
        <v>6</v>
      </c>
      <c r="K6" s="52">
        <f>IF(ISERROR(VLOOKUP(J6,'Data sheet'!$B$3:$C$32,2,FALSE)),"",IF(I6="DNF",$I$32,(VLOOKUP(J6,'Data sheet'!$B$3:$C$32,2,FALSE))))</f>
        <v>6</v>
      </c>
      <c r="L6" s="29"/>
      <c r="M6" s="93">
        <f>IF('Data sheet'!O3="","",'Data sheet'!O3)</f>
        <v>0.0027777777777777766</v>
      </c>
      <c r="N6" s="53">
        <f>IF(I6="","",IF($C$1="Handicap",I6,IF(I6="DNS","DNS",IF(I6="DNF","DNF",IF(I6="DSQ","DSQ",I6-M6)))))</f>
        <v>0.021631944444444447</v>
      </c>
      <c r="O6" s="51">
        <f>IF(I6="","",IF(N6="DNS","DNS",IF(N6="DNF","DNF",IF(N6="DSQ","DSQ",RANK(N6,N$6:N$30,1)))))</f>
        <v>6</v>
      </c>
      <c r="P6" s="52">
        <f>IF(O6="","",IF(O6="DNF",$I$32,VLOOKUP(O6,'Data sheet'!$B$3:$C$32,2,FALSE)))</f>
        <v>6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0.0048611111111111095</v>
      </c>
      <c r="S6" s="101">
        <f>R6</f>
        <v>0.0048611111111111095</v>
      </c>
      <c r="T6" s="103">
        <f>IF(R6="","",S6-S$32)</f>
        <v>0.002777777777777776</v>
      </c>
      <c r="U6" s="104">
        <f>IF(T6=0,0,IF(O6="DNS",M6,IF(O6="DSQ",M6,T6)))</f>
        <v>0.002777777777777776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33</v>
      </c>
      <c r="G7" s="10" t="s">
        <v>112</v>
      </c>
      <c r="H7" s="12">
        <v>43</v>
      </c>
      <c r="I7" s="50">
        <f t="shared" si="0"/>
        <v>0.023414351851851853</v>
      </c>
      <c r="J7" s="51">
        <f t="shared" si="1"/>
        <v>3</v>
      </c>
      <c r="K7" s="52">
        <f>IF(ISERROR(VLOOKUP(J7,'Data sheet'!$B$3:$C$32,2,FALSE)),"",IF(I7="DNF",$I$32,(VLOOKUP(J7,'Data sheet'!$B$3:$C$32,2,FALSE))))</f>
        <v>3</v>
      </c>
      <c r="L7" s="29"/>
      <c r="M7" s="93">
        <f>IF('Data sheet'!O4="","",'Data sheet'!O4)</f>
        <v>0.0006944444444444433</v>
      </c>
      <c r="N7" s="53">
        <f aca="true" t="shared" si="2" ref="N7:N30">IF(I7="","",IF($C$1="Handicap",I7,IF(I7="DNS","DNS",IF(I7="DNF","DNF",IF(I7="DSQ","DSQ",I7-M7)))))</f>
        <v>0.02271990740740741</v>
      </c>
      <c r="O7" s="51">
        <f aca="true" t="shared" si="3" ref="O7:O30">IF(I7="","",IF(N7="DNS","DNS",IF(N7="DNF","DNF",IF(N7="DSQ","DSQ",RANK(N7,N$6:N$30,1)))))</f>
        <v>8</v>
      </c>
      <c r="P7" s="52">
        <f>IF(O7="","",IF(O7="DNF",$I$32,VLOOKUP(O7,'Data sheet'!$B$3:$C$32,2,FALSE)))</f>
        <v>8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0.0027777777777777766</v>
      </c>
      <c r="S7" s="101">
        <f aca="true" t="shared" si="4" ref="S7:S30">R7</f>
        <v>0.0027777777777777766</v>
      </c>
      <c r="T7" s="103">
        <f aca="true" t="shared" si="5" ref="T7:T30">IF(R7="","",S7-S$32)</f>
        <v>0.0006944444444444433</v>
      </c>
      <c r="U7" s="104">
        <f aca="true" t="shared" si="6" ref="U7:U30">IF(T7=0,0,IF(O7="DNS",M7,IF(O7="DSQ",M7,T7)))</f>
        <v>0.0006944444444444433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37</v>
      </c>
      <c r="G8" s="10" t="s">
        <v>112</v>
      </c>
      <c r="H8" s="12">
        <v>57</v>
      </c>
      <c r="I8" s="50">
        <f t="shared" si="0"/>
        <v>0.026354166666666668</v>
      </c>
      <c r="J8" s="51">
        <f t="shared" si="1"/>
        <v>10</v>
      </c>
      <c r="K8" s="52">
        <f>IF(ISERROR(VLOOKUP(J8,'Data sheet'!$B$3:$C$32,2,FALSE)),"",IF(I8="DNF",$I$32,(VLOOKUP(J8,'Data sheet'!$B$3:$C$32,2,FALSE))))</f>
        <v>10</v>
      </c>
      <c r="L8" s="29"/>
      <c r="M8" s="93">
        <f>IF('Data sheet'!O5="","",'Data sheet'!O5)</f>
        <v>0.006944444444444445</v>
      </c>
      <c r="N8" s="53">
        <f t="shared" si="2"/>
        <v>0.019409722222222224</v>
      </c>
      <c r="O8" s="51">
        <f t="shared" si="3"/>
        <v>1</v>
      </c>
      <c r="P8" s="52">
        <f>IF(O8="","",IF(O8="DNF",$I$32,VLOOKUP(O8,'Data sheet'!$B$3:$C$32,2,FALSE)))</f>
        <v>1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0.006944444444444445</v>
      </c>
      <c r="S8" s="101">
        <f t="shared" si="4"/>
        <v>0.006944444444444445</v>
      </c>
      <c r="T8" s="103">
        <f t="shared" si="5"/>
        <v>0.004861111111111111</v>
      </c>
      <c r="U8" s="104">
        <f t="shared" si="6"/>
        <v>0.004861111111111111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36</v>
      </c>
      <c r="G9" s="10" t="s">
        <v>112</v>
      </c>
      <c r="H9" s="12">
        <v>11</v>
      </c>
      <c r="I9" s="50">
        <f t="shared" si="0"/>
        <v>0.02512731481481481</v>
      </c>
      <c r="J9" s="51">
        <f t="shared" si="1"/>
        <v>8</v>
      </c>
      <c r="K9" s="52">
        <f>IF(ISERROR(VLOOKUP(J9,'Data sheet'!$B$3:$C$32,2,FALSE)),"",IF(I9="DNF",$I$32,(VLOOKUP(J9,'Data sheet'!$B$3:$C$32,2,FALSE))))</f>
        <v>8</v>
      </c>
      <c r="L9" s="29"/>
      <c r="M9" s="93">
        <f>IF('Data sheet'!O6="","",'Data sheet'!O6)</f>
        <v>0.004166666666666667</v>
      </c>
      <c r="N9" s="53">
        <f t="shared" si="2"/>
        <v>0.020960648148148145</v>
      </c>
      <c r="O9" s="51">
        <f t="shared" si="3"/>
        <v>3</v>
      </c>
      <c r="P9" s="52">
        <f>IF(O9="","",IF(O9="DNF",$I$32,VLOOKUP(O9,'Data sheet'!$B$3:$C$32,2,FALSE)))</f>
        <v>3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0.005555555555555556</v>
      </c>
      <c r="S9" s="101">
        <f t="shared" si="4"/>
        <v>0.005555555555555556</v>
      </c>
      <c r="T9" s="103">
        <f t="shared" si="5"/>
        <v>0.0034722222222222225</v>
      </c>
      <c r="U9" s="104">
        <f t="shared" si="6"/>
        <v>0.0034722222222222225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33</v>
      </c>
      <c r="G10" s="10" t="s">
        <v>112</v>
      </c>
      <c r="H10" s="12">
        <v>40</v>
      </c>
      <c r="I10" s="50">
        <f t="shared" si="0"/>
        <v>0.02337962962962963</v>
      </c>
      <c r="J10" s="51">
        <f t="shared" si="1"/>
        <v>1</v>
      </c>
      <c r="K10" s="52">
        <f>IF(ISERROR(VLOOKUP(J10,'Data sheet'!$B$3:$C$32,2,FALSE)),"",IF(I10="DNF",$I$32,(VLOOKUP(J10,'Data sheet'!$B$3:$C$32,2,FALSE))))</f>
        <v>1</v>
      </c>
      <c r="L10" s="29"/>
      <c r="M10" s="93">
        <f>IF('Data sheet'!O7="","",'Data sheet'!O7)</f>
        <v>0</v>
      </c>
      <c r="N10" s="53">
        <f t="shared" si="2"/>
        <v>0.02337962962962963</v>
      </c>
      <c r="O10" s="51">
        <f t="shared" si="3"/>
        <v>9</v>
      </c>
      <c r="P10" s="52">
        <f>IF(O10="","",IF(O10="DNF",$I$32,VLOOKUP(O10,'Data sheet'!$B$3:$C$32,2,FALSE)))</f>
        <v>9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0.0020833333333333333</v>
      </c>
      <c r="S10" s="101">
        <f t="shared" si="4"/>
        <v>0.0020833333333333333</v>
      </c>
      <c r="T10" s="103">
        <f t="shared" si="5"/>
        <v>0</v>
      </c>
      <c r="U10" s="104">
        <f t="shared" si="6"/>
        <v>0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34</v>
      </c>
      <c r="G11" s="10" t="s">
        <v>112</v>
      </c>
      <c r="H11" s="12">
        <v>50</v>
      </c>
      <c r="I11" s="50">
        <f t="shared" si="0"/>
        <v>0.024189814814814817</v>
      </c>
      <c r="J11" s="51">
        <f t="shared" si="1"/>
        <v>5</v>
      </c>
      <c r="K11" s="52">
        <f>IF(ISERROR(VLOOKUP(J11,'Data sheet'!$B$3:$C$32,2,FALSE)),"",IF(I11="DNF",$I$32,(VLOOKUP(J11,'Data sheet'!$B$3:$C$32,2,FALSE))))</f>
        <v>5</v>
      </c>
      <c r="L11" s="29"/>
      <c r="M11" s="93">
        <f>IF('Data sheet'!O8="","",'Data sheet'!O8)</f>
        <v>0.0006944444444444446</v>
      </c>
      <c r="N11" s="53">
        <f t="shared" si="2"/>
        <v>0.02349537037037037</v>
      </c>
      <c r="O11" s="51">
        <f t="shared" si="3"/>
        <v>10</v>
      </c>
      <c r="P11" s="52">
        <f>IF(O11="","",IF(O11="DNF",$I$32,VLOOKUP(O11,'Data sheet'!$B$3:$C$32,2,FALSE)))</f>
        <v>10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0.002777777777777778</v>
      </c>
      <c r="S11" s="101">
        <f t="shared" si="4"/>
        <v>0.002777777777777778</v>
      </c>
      <c r="T11" s="103">
        <f t="shared" si="5"/>
        <v>0.0006944444444444446</v>
      </c>
      <c r="U11" s="104">
        <f t="shared" si="6"/>
        <v>0.0006944444444444446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33</v>
      </c>
      <c r="G12" s="10" t="s">
        <v>112</v>
      </c>
      <c r="H12" s="12">
        <v>46</v>
      </c>
      <c r="I12" s="50">
        <f t="shared" si="0"/>
        <v>0.02344907407407407</v>
      </c>
      <c r="J12" s="51">
        <f t="shared" si="1"/>
        <v>4</v>
      </c>
      <c r="K12" s="52">
        <f>IF(ISERROR(VLOOKUP(J12,'Data sheet'!$B$3:$C$32,2,FALSE)),"",IF(I12="DNF",$I$32,(VLOOKUP(J12,'Data sheet'!$B$3:$C$32,2,FALSE))))</f>
        <v>4</v>
      </c>
      <c r="L12" s="29"/>
      <c r="M12" s="93">
        <f>IF('Data sheet'!O9="","",'Data sheet'!O9)</f>
        <v>0.002083333333333333</v>
      </c>
      <c r="N12" s="53">
        <f t="shared" si="2"/>
        <v>0.021365740740740737</v>
      </c>
      <c r="O12" s="51">
        <f t="shared" si="3"/>
        <v>4</v>
      </c>
      <c r="P12" s="52">
        <f>IF(O12="","",IF(O12="DNF",$I$32,VLOOKUP(O12,'Data sheet'!$B$3:$C$32,2,FALSE)))</f>
        <v>4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0.004166666666666666</v>
      </c>
      <c r="S12" s="101">
        <f t="shared" si="4"/>
        <v>0.004166666666666666</v>
      </c>
      <c r="T12" s="103">
        <f t="shared" si="5"/>
        <v>0.0020833333333333324</v>
      </c>
      <c r="U12" s="104">
        <f t="shared" si="6"/>
        <v>0.0020833333333333324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35</v>
      </c>
      <c r="G13" s="10" t="s">
        <v>112</v>
      </c>
      <c r="H13" s="12">
        <v>58</v>
      </c>
      <c r="I13" s="50">
        <f t="shared" si="0"/>
        <v>0.02497685185185185</v>
      </c>
      <c r="J13" s="51">
        <f t="shared" si="1"/>
        <v>7</v>
      </c>
      <c r="K13" s="52">
        <f>IF(ISERROR(VLOOKUP(J13,'Data sheet'!$B$3:$C$32,2,FALSE)),"",IF(I13="DNF",$I$32,(VLOOKUP(J13,'Data sheet'!$B$3:$C$32,2,FALSE))))</f>
        <v>7</v>
      </c>
      <c r="L13" s="29"/>
      <c r="M13" s="93">
        <f>IF('Data sheet'!O10="","",'Data sheet'!O10)</f>
        <v>0.0034722222222222246</v>
      </c>
      <c r="N13" s="53">
        <f t="shared" si="2"/>
        <v>0.021504629629629627</v>
      </c>
      <c r="O13" s="51">
        <f t="shared" si="3"/>
        <v>5</v>
      </c>
      <c r="P13" s="52">
        <f>IF(O13="","",IF(O13="DNF",$I$32,VLOOKUP(O13,'Data sheet'!$B$3:$C$32,2,FALSE)))</f>
        <v>5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0.005555555555555558</v>
      </c>
      <c r="S13" s="101">
        <f t="shared" si="4"/>
        <v>0.005555555555555558</v>
      </c>
      <c r="T13" s="103">
        <f t="shared" si="5"/>
        <v>0.003472222222222225</v>
      </c>
      <c r="U13" s="104">
        <f t="shared" si="6"/>
        <v>0.003472222222222225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36</v>
      </c>
      <c r="G14" s="10" t="s">
        <v>112</v>
      </c>
      <c r="H14" s="12">
        <v>13</v>
      </c>
      <c r="I14" s="50">
        <f t="shared" si="0"/>
        <v>0.02515046296296296</v>
      </c>
      <c r="J14" s="51">
        <f t="shared" si="1"/>
        <v>9</v>
      </c>
      <c r="K14" s="52">
        <f>IF(ISERROR(VLOOKUP(J14,'Data sheet'!$B$3:$C$32,2,FALSE)),"",IF(I14="DNF",$I$32,(VLOOKUP(J14,'Data sheet'!$B$3:$C$32,2,FALSE))))</f>
        <v>9</v>
      </c>
      <c r="L14" s="29"/>
      <c r="M14" s="93">
        <f>IF('Data sheet'!O11="","",'Data sheet'!O11)</f>
        <v>0.004861111111111111</v>
      </c>
      <c r="N14" s="53">
        <f t="shared" si="2"/>
        <v>0.02028935185185185</v>
      </c>
      <c r="O14" s="51">
        <f t="shared" si="3"/>
        <v>2</v>
      </c>
      <c r="P14" s="52">
        <f>IF(O14="","",IF(O14="DNF",$I$32,VLOOKUP(O14,'Data sheet'!$B$3:$C$32,2,FALSE)))</f>
        <v>2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0.005555555555555556</v>
      </c>
      <c r="S14" s="101">
        <f t="shared" si="4"/>
        <v>0.005555555555555556</v>
      </c>
      <c r="T14" s="103">
        <f t="shared" si="5"/>
        <v>0.0034722222222222225</v>
      </c>
      <c r="U14" s="104">
        <f t="shared" si="6"/>
        <v>0.0034722222222222225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33</v>
      </c>
      <c r="G15" s="10" t="s">
        <v>112</v>
      </c>
      <c r="H15" s="12">
        <v>42</v>
      </c>
      <c r="I15" s="50">
        <f t="shared" si="0"/>
        <v>0.023402777777777783</v>
      </c>
      <c r="J15" s="51">
        <f t="shared" si="1"/>
        <v>2</v>
      </c>
      <c r="K15" s="52">
        <f>IF(ISERROR(VLOOKUP(J15,'Data sheet'!$B$3:$C$32,2,FALSE)),"",IF(I15="DNF",$I$32,(VLOOKUP(J15,'Data sheet'!$B$3:$C$32,2,FALSE))))</f>
        <v>2</v>
      </c>
      <c r="L15" s="29"/>
      <c r="M15" s="93">
        <f>IF('Data sheet'!O12="","",'Data sheet'!O12)</f>
        <v>0.0013888888888888883</v>
      </c>
      <c r="N15" s="53">
        <f t="shared" si="2"/>
        <v>0.022013888888888895</v>
      </c>
      <c r="O15" s="51">
        <f t="shared" si="3"/>
        <v>7</v>
      </c>
      <c r="P15" s="52">
        <f>IF(O15="","",IF(O15="DNF",$I$32,VLOOKUP(O15,'Data sheet'!$B$3:$C$32,2,FALSE)))</f>
        <v>7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0.0034722222222222216</v>
      </c>
      <c r="S15" s="101">
        <f t="shared" si="4"/>
        <v>0.0034722222222222216</v>
      </c>
      <c r="T15" s="103">
        <f t="shared" si="5"/>
        <v>0.0013888888888888883</v>
      </c>
      <c r="U15" s="104">
        <f t="shared" si="6"/>
        <v>0.0013888888888888883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sheet'!O13="","",'Data sheet'!O13)</f>
      </c>
      <c r="N16" s="53">
        <f t="shared" si="2"/>
      </c>
      <c r="O16" s="51">
        <f t="shared" si="3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4"/>
      </c>
      <c r="T16" s="103">
        <f t="shared" si="5"/>
      </c>
      <c r="U16" s="104">
        <f t="shared" si="6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sheet'!O14="","",'Data sheet'!O14)</f>
      </c>
      <c r="N17" s="53">
        <f t="shared" si="2"/>
      </c>
      <c r="O17" s="51">
        <f t="shared" si="3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4"/>
      </c>
      <c r="T17" s="103">
        <f t="shared" si="5"/>
      </c>
      <c r="U17" s="104">
        <f t="shared" si="6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sheet'!O15="","",'Data sheet'!O15)</f>
      </c>
      <c r="N18" s="53">
        <f t="shared" si="2"/>
      </c>
      <c r="O18" s="51">
        <f t="shared" si="3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4"/>
      </c>
      <c r="T18" s="103">
        <f t="shared" si="5"/>
      </c>
      <c r="U18" s="104">
        <f t="shared" si="6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sheet'!O16="","",'Data sheet'!O16)</f>
      </c>
      <c r="N19" s="53">
        <f t="shared" si="2"/>
      </c>
      <c r="O19" s="51">
        <f t="shared" si="3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4"/>
      </c>
      <c r="T19" s="103">
        <f t="shared" si="5"/>
      </c>
      <c r="U19" s="104">
        <f t="shared" si="6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sheet'!O17="","",'Data sheet'!O17)</f>
      </c>
      <c r="N20" s="53">
        <f t="shared" si="2"/>
      </c>
      <c r="O20" s="51">
        <f t="shared" si="3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4"/>
      </c>
      <c r="T20" s="103">
        <f t="shared" si="5"/>
      </c>
      <c r="U20" s="104">
        <f t="shared" si="6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sheet'!O18="","",'Data sheet'!O18)</f>
      </c>
      <c r="N21" s="53">
        <f t="shared" si="2"/>
      </c>
      <c r="O21" s="51">
        <f t="shared" si="3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4"/>
      </c>
      <c r="T21" s="103">
        <f t="shared" si="5"/>
      </c>
      <c r="U21" s="104">
        <f t="shared" si="6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sheet'!O19="","",'Data sheet'!O19)</f>
      </c>
      <c r="N22" s="53">
        <f t="shared" si="2"/>
      </c>
      <c r="O22" s="51">
        <f t="shared" si="3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4"/>
      </c>
      <c r="T22" s="103">
        <f t="shared" si="5"/>
      </c>
      <c r="U22" s="104">
        <f t="shared" si="6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sheet'!O20="","",'Data sheet'!O20)</f>
      </c>
      <c r="N23" s="53">
        <f t="shared" si="2"/>
      </c>
      <c r="O23" s="51">
        <f t="shared" si="3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4"/>
      </c>
      <c r="T23" s="103">
        <f t="shared" si="5"/>
      </c>
      <c r="U23" s="104">
        <f t="shared" si="6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sheet'!O21="","",'Data sheet'!O21)</f>
      </c>
      <c r="N24" s="53">
        <f t="shared" si="2"/>
      </c>
      <c r="O24" s="51">
        <f t="shared" si="3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4"/>
      </c>
      <c r="T24" s="103">
        <f t="shared" si="5"/>
      </c>
      <c r="U24" s="104">
        <f t="shared" si="6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sheet'!O22="","",'Data sheet'!O22)</f>
      </c>
      <c r="N25" s="53">
        <f t="shared" si="2"/>
      </c>
      <c r="O25" s="51">
        <f t="shared" si="3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4"/>
      </c>
      <c r="T25" s="103">
        <f t="shared" si="5"/>
      </c>
      <c r="U25" s="104">
        <f t="shared" si="6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sheet'!O23="","",'Data sheet'!O23)</f>
      </c>
      <c r="N26" s="53">
        <f t="shared" si="2"/>
      </c>
      <c r="O26" s="51">
        <f t="shared" si="3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4"/>
      </c>
      <c r="T26" s="103">
        <f t="shared" si="5"/>
      </c>
      <c r="U26" s="104">
        <f t="shared" si="6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sheet'!O24="","",'Data sheet'!O24)</f>
      </c>
      <c r="N27" s="53">
        <f t="shared" si="2"/>
      </c>
      <c r="O27" s="51">
        <f t="shared" si="3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4"/>
      </c>
      <c r="T27" s="103">
        <f t="shared" si="5"/>
      </c>
      <c r="U27" s="104">
        <f t="shared" si="6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sheet'!O25="","",'Data sheet'!O25)</f>
      </c>
      <c r="N28" s="53">
        <f t="shared" si="2"/>
      </c>
      <c r="O28" s="51">
        <f t="shared" si="3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4"/>
      </c>
      <c r="T28" s="103">
        <f t="shared" si="5"/>
      </c>
      <c r="U28" s="104">
        <f t="shared" si="6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sheet'!O26="","",'Data sheet'!O26)</f>
      </c>
      <c r="N29" s="53">
        <f t="shared" si="2"/>
      </c>
      <c r="O29" s="51">
        <f t="shared" si="3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4"/>
      </c>
      <c r="T29" s="103">
        <f t="shared" si="5"/>
      </c>
      <c r="U29" s="104">
        <f t="shared" si="6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sheet'!O27="","",'Data sheet'!O27)</f>
      </c>
      <c r="N30" s="53">
        <f t="shared" si="2"/>
      </c>
      <c r="O30" s="51">
        <f t="shared" si="3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4"/>
      </c>
      <c r="T30" s="103">
        <f t="shared" si="5"/>
      </c>
      <c r="U30" s="104">
        <f t="shared" si="6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1999999999999997" right="0.21999999999999997" top="0.37" bottom="0.21999999999999997" header="0.18000000000000002" footer="0.17000000000000004"/>
  <pageSetup fitToHeight="1" fitToWidth="1" horizontalDpi="600" verticalDpi="600" orientation="landscape" paperSize="9"/>
  <headerFooter alignWithMargins="0">
    <oddHeader>&amp;C&amp;F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1:Y32"/>
  <sheetViews>
    <sheetView zoomScale="125" zoomScaleNormal="125" zoomScalePageLayoutView="0" workbookViewId="0" topLeftCell="A1">
      <selection activeCell="O12" sqref="O12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710937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11.7109375" style="23" hidden="1" customWidth="1"/>
    <col min="18" max="18" width="22.7109375" style="23" hidden="1" customWidth="1"/>
    <col min="19" max="19" width="19.421875" style="23" hidden="1" customWidth="1"/>
    <col min="20" max="20" width="31.85156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43113</v>
      </c>
    </row>
    <row r="2" ht="12.75"/>
    <row r="3" spans="2:15" ht="18" customHeight="1">
      <c r="B3" s="40" t="s">
        <v>85</v>
      </c>
      <c r="C3" s="41" t="s">
        <v>100</v>
      </c>
      <c r="D3" s="71">
        <v>2</v>
      </c>
      <c r="E3" s="42"/>
      <c r="F3" s="42"/>
      <c r="G3" s="42"/>
      <c r="H3" s="42"/>
      <c r="I3" s="43" t="s">
        <v>122</v>
      </c>
      <c r="J3" s="163" t="s">
        <v>108</v>
      </c>
      <c r="K3" s="164"/>
      <c r="N3" s="43" t="s">
        <v>123</v>
      </c>
      <c r="O3" s="72" t="s">
        <v>109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41</v>
      </c>
      <c r="G6" s="10" t="s">
        <v>112</v>
      </c>
      <c r="H6" s="12">
        <v>56</v>
      </c>
      <c r="I6" s="50">
        <f aca="true" t="shared" si="0" ref="I6:I30">IF(TIMEVALUE(D6&amp;":"&amp;F6&amp;":"&amp;H6)=0,"",TIMEVALUE(D6&amp;":"&amp;F6&amp;":"&amp;H6)-$I$4)</f>
        <v>0.029120370370370366</v>
      </c>
      <c r="J6" s="51">
        <f aca="true" t="shared" si="1" ref="J6:J30">IF(ISERROR(IF(I6="DNS","DNS",IF(I6="DNF","DNF",IF(I6="DSQ","DSQ",RANK(I6,I$6:I$30,1))))),"",IF(I6="DNS","DNS",IF(I6="DNF","DNF",IF(I6="DSQ","DSQ",RANK(I6,I$6:I$30,1)))))</f>
        <v>7</v>
      </c>
      <c r="K6" s="52">
        <f>IF(ISERROR(VLOOKUP(J6,'Data sheet'!$B$3:$C$32,2,FALSE)),"",IF(I6="DNF",$I$32,(VLOOKUP(J6,'Data sheet'!$B$3:$C$32,2,FALSE))))</f>
        <v>7</v>
      </c>
      <c r="L6" s="29"/>
      <c r="M6" s="93">
        <f>IF('Data sheet'!P3="","",'Data sheet'!P3)</f>
        <v>0.002777777777777776</v>
      </c>
      <c r="N6" s="53">
        <f>IF(I6="","",IF($C$1="Handicap",I6,IF(I6="DNS","DNS",IF(I6="DNF","DNF",IF(I6="DSQ","DSQ",I6-M6)))))</f>
        <v>0.02634259259259259</v>
      </c>
      <c r="O6" s="51">
        <f>IF(I6="","",IF(N6="DNS","DNS",IF(N6="DNF","DNF",IF(N6="DSQ","DSQ",RANK(N6,N$6:N$30,1)))))</f>
        <v>7</v>
      </c>
      <c r="P6" s="52">
        <f>IF(O6="","",IF(O6="DNF",$I$32,VLOOKUP(O6,'Data sheet'!$B$3:$C$32,2,FALSE)))</f>
        <v>7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0.0048611111111111095</v>
      </c>
      <c r="S6" s="101">
        <f>R6</f>
        <v>0.0048611111111111095</v>
      </c>
      <c r="T6" s="103">
        <f>IF(R6="","",S6-S$32)</f>
        <v>0.0027777777777777775</v>
      </c>
      <c r="U6" s="104">
        <f>IF(T6=0,0,IF(O6="DNS",M6,IF(O6="DSQ",M6,T6)))</f>
        <v>0.0027777777777777775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37</v>
      </c>
      <c r="G7" s="10" t="s">
        <v>112</v>
      </c>
      <c r="H7" s="12">
        <v>8</v>
      </c>
      <c r="I7" s="50">
        <f t="shared" si="0"/>
        <v>0.02578703703703704</v>
      </c>
      <c r="J7" s="51">
        <f t="shared" si="1"/>
        <v>1</v>
      </c>
      <c r="K7" s="52">
        <f>IF(ISERROR(VLOOKUP(J7,'Data sheet'!$B$3:$C$32,2,FALSE)),"",IF(I7="DNF",$I$32,(VLOOKUP(J7,'Data sheet'!$B$3:$C$32,2,FALSE))))</f>
        <v>1</v>
      </c>
      <c r="L7" s="29"/>
      <c r="M7" s="93">
        <f>IF('Data sheet'!P4="","",'Data sheet'!P4)</f>
        <v>0.0006944444444444433</v>
      </c>
      <c r="N7" s="53">
        <f aca="true" t="shared" si="2" ref="N7:N30">IF(I7="","",IF($C$1="Handicap",I7,IF(I7="DNS","DNS",IF(I7="DNF","DNF",IF(I7="DSQ","DSQ",I7-M7)))))</f>
        <v>0.025092592592592597</v>
      </c>
      <c r="O7" s="51">
        <f aca="true" t="shared" si="3" ref="O7:O30">IF(I7="","",IF(N7="DNS","DNS",IF(N7="DNF","DNF",IF(N7="DSQ","DSQ",RANK(N7,N$6:N$30,1)))))</f>
        <v>3</v>
      </c>
      <c r="P7" s="52">
        <f>IF(O7="","",IF(O7="DNF",$I$32,VLOOKUP(O7,'Data sheet'!$B$3:$C$32,2,FALSE)))</f>
        <v>3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0.002083333333333332</v>
      </c>
      <c r="S7" s="101">
        <f aca="true" t="shared" si="4" ref="S7:S30">R7</f>
        <v>0.002083333333333332</v>
      </c>
      <c r="T7" s="103">
        <f aca="true" t="shared" si="5" ref="T7:T30">IF(R7="","",S7-S$32)</f>
        <v>0</v>
      </c>
      <c r="U7" s="104">
        <f aca="true" t="shared" si="6" ref="U7:U30">IF(T7=0,0,IF(O7="DNS",M7,IF(O7="DSQ",M7,T7)))</f>
        <v>0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48</v>
      </c>
      <c r="G8" s="10" t="s">
        <v>112</v>
      </c>
      <c r="H8" s="12">
        <v>15</v>
      </c>
      <c r="I8" s="50">
        <f t="shared" si="0"/>
        <v>0.03350694444444444</v>
      </c>
      <c r="J8" s="51">
        <f t="shared" si="1"/>
        <v>9</v>
      </c>
      <c r="K8" s="52">
        <f>IF(ISERROR(VLOOKUP(J8,'Data sheet'!$B$3:$C$32,2,FALSE)),"",IF(I8="DNF",$I$32,(VLOOKUP(J8,'Data sheet'!$B$3:$C$32,2,FALSE))))</f>
        <v>9</v>
      </c>
      <c r="L8" s="29"/>
      <c r="M8" s="93">
        <f>IF('Data sheet'!P5="","",'Data sheet'!P5)</f>
        <v>0.004861111111111111</v>
      </c>
      <c r="N8" s="53">
        <f t="shared" si="2"/>
        <v>0.028645833333333332</v>
      </c>
      <c r="O8" s="51">
        <f t="shared" si="3"/>
        <v>9</v>
      </c>
      <c r="P8" s="52">
        <f>IF(O8="","",IF(O8="DNF",$I$32,VLOOKUP(O8,'Data sheet'!$B$3:$C$32,2,FALSE)))</f>
        <v>9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0.006944444444444444</v>
      </c>
      <c r="S8" s="101">
        <f t="shared" si="4"/>
        <v>0.006944444444444444</v>
      </c>
      <c r="T8" s="103">
        <f t="shared" si="5"/>
        <v>0.004861111111111112</v>
      </c>
      <c r="U8" s="104">
        <f t="shared" si="6"/>
        <v>0.004861111111111112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42</v>
      </c>
      <c r="G9" s="10" t="s">
        <v>112</v>
      </c>
      <c r="H9" s="12">
        <v>15</v>
      </c>
      <c r="I9" s="50">
        <f t="shared" si="0"/>
        <v>0.02934027777777778</v>
      </c>
      <c r="J9" s="51">
        <f t="shared" si="1"/>
        <v>8</v>
      </c>
      <c r="K9" s="52">
        <f>IF(ISERROR(VLOOKUP(J9,'Data sheet'!$B$3:$C$32,2,FALSE)),"",IF(I9="DNF",$I$32,(VLOOKUP(J9,'Data sheet'!$B$3:$C$32,2,FALSE))))</f>
        <v>8</v>
      </c>
      <c r="L9" s="29"/>
      <c r="M9" s="93">
        <f>IF('Data sheet'!P6="","",'Data sheet'!P6)</f>
        <v>0.0034722222222222225</v>
      </c>
      <c r="N9" s="53">
        <f t="shared" si="2"/>
        <v>0.025868055555555557</v>
      </c>
      <c r="O9" s="51">
        <f t="shared" si="3"/>
        <v>5</v>
      </c>
      <c r="P9" s="52">
        <f>IF(O9="","",IF(O9="DNF",$I$32,VLOOKUP(O9,'Data sheet'!$B$3:$C$32,2,FALSE)))</f>
        <v>5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0.005555555555555556</v>
      </c>
      <c r="S9" s="101">
        <f t="shared" si="4"/>
        <v>0.005555555555555556</v>
      </c>
      <c r="T9" s="103">
        <f t="shared" si="5"/>
        <v>0.0034722222222222238</v>
      </c>
      <c r="U9" s="104">
        <f t="shared" si="6"/>
        <v>0.0034722222222222238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37</v>
      </c>
      <c r="G10" s="10" t="s">
        <v>112</v>
      </c>
      <c r="H10" s="12">
        <v>40</v>
      </c>
      <c r="I10" s="50">
        <f t="shared" si="0"/>
        <v>0.026157407407407407</v>
      </c>
      <c r="J10" s="51">
        <f t="shared" si="1"/>
        <v>3</v>
      </c>
      <c r="K10" s="52">
        <f>IF(ISERROR(VLOOKUP(J10,'Data sheet'!$B$3:$C$32,2,FALSE)),"",IF(I10="DNF",$I$32,(VLOOKUP(J10,'Data sheet'!$B$3:$C$32,2,FALSE))))</f>
        <v>3</v>
      </c>
      <c r="L10" s="29"/>
      <c r="M10" s="93">
        <f>IF('Data sheet'!P7="","",'Data sheet'!P7)</f>
        <v>0</v>
      </c>
      <c r="N10" s="53">
        <f t="shared" si="2"/>
        <v>0.026157407407407407</v>
      </c>
      <c r="O10" s="51">
        <f t="shared" si="3"/>
        <v>6</v>
      </c>
      <c r="P10" s="52">
        <f>IF(O10="","",IF(O10="DNF",$I$32,VLOOKUP(O10,'Data sheet'!$B$3:$C$32,2,FALSE)))</f>
        <v>6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0.0020833333333333333</v>
      </c>
      <c r="S10" s="101">
        <f t="shared" si="4"/>
        <v>0.0020833333333333333</v>
      </c>
      <c r="T10" s="103">
        <f t="shared" si="5"/>
        <v>1.3010426069826053E-18</v>
      </c>
      <c r="U10" s="104">
        <f t="shared" si="6"/>
        <v>1.3010426069826053E-18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39</v>
      </c>
      <c r="G11" s="10" t="s">
        <v>112</v>
      </c>
      <c r="H11" s="12">
        <v>14</v>
      </c>
      <c r="I11" s="50">
        <f t="shared" si="0"/>
        <v>0.027245370370370368</v>
      </c>
      <c r="J11" s="51">
        <f t="shared" si="1"/>
        <v>4</v>
      </c>
      <c r="K11" s="52">
        <f>IF(ISERROR(VLOOKUP(J11,'Data sheet'!$B$3:$C$32,2,FALSE)),"",IF(I11="DNF",$I$32,(VLOOKUP(J11,'Data sheet'!$B$3:$C$32,2,FALSE))))</f>
        <v>4</v>
      </c>
      <c r="L11" s="29"/>
      <c r="M11" s="93">
        <f>IF('Data sheet'!P8="","",'Data sheet'!P8)</f>
        <v>0.0006944444444444446</v>
      </c>
      <c r="N11" s="53">
        <f t="shared" si="2"/>
        <v>0.026550925925925922</v>
      </c>
      <c r="O11" s="51">
        <f t="shared" si="3"/>
        <v>8</v>
      </c>
      <c r="P11" s="52">
        <f>IF(O11="","",IF(O11="DNF",$I$32,VLOOKUP(O11,'Data sheet'!$B$3:$C$32,2,FALSE)))</f>
        <v>8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0.002777777777777778</v>
      </c>
      <c r="S11" s="101">
        <f t="shared" si="4"/>
        <v>0.002777777777777778</v>
      </c>
      <c r="T11" s="103">
        <f t="shared" si="5"/>
        <v>0.0006944444444444459</v>
      </c>
      <c r="U11" s="104">
        <f t="shared" si="6"/>
        <v>0.0006944444444444459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39</v>
      </c>
      <c r="G12" s="10" t="s">
        <v>112</v>
      </c>
      <c r="H12" s="12">
        <v>59</v>
      </c>
      <c r="I12" s="50">
        <f t="shared" si="0"/>
        <v>0.027766203703703706</v>
      </c>
      <c r="J12" s="51">
        <f t="shared" si="1"/>
        <v>6</v>
      </c>
      <c r="K12" s="52">
        <f>IF(ISERROR(VLOOKUP(J12,'Data sheet'!$B$3:$C$32,2,FALSE)),"",IF(I12="DNF",$I$32,(VLOOKUP(J12,'Data sheet'!$B$3:$C$32,2,FALSE))))</f>
        <v>6</v>
      </c>
      <c r="L12" s="29"/>
      <c r="M12" s="93">
        <f>IF('Data sheet'!P9="","",'Data sheet'!P9)</f>
        <v>0.0020833333333333324</v>
      </c>
      <c r="N12" s="53">
        <f t="shared" si="2"/>
        <v>0.025682870370370373</v>
      </c>
      <c r="O12" s="51">
        <f t="shared" si="3"/>
        <v>4</v>
      </c>
      <c r="P12" s="52">
        <f>IF(O12="","",IF(O12="DNF",$I$32,VLOOKUP(O12,'Data sheet'!$B$3:$C$32,2,FALSE)))</f>
        <v>4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0.004166666666666666</v>
      </c>
      <c r="S12" s="101">
        <f t="shared" si="4"/>
        <v>0.004166666666666666</v>
      </c>
      <c r="T12" s="103">
        <f t="shared" si="5"/>
        <v>0.0020833333333333337</v>
      </c>
      <c r="U12" s="104">
        <f t="shared" si="6"/>
        <v>0.0020833333333333337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39</v>
      </c>
      <c r="G13" s="10" t="s">
        <v>112</v>
      </c>
      <c r="H13" s="12">
        <v>30</v>
      </c>
      <c r="I13" s="50">
        <f t="shared" si="0"/>
        <v>0.027430555555555555</v>
      </c>
      <c r="J13" s="51">
        <f t="shared" si="1"/>
        <v>5</v>
      </c>
      <c r="K13" s="52">
        <f>IF(ISERROR(VLOOKUP(J13,'Data sheet'!$B$3:$C$32,2,FALSE)),"",IF(I13="DNF",$I$32,(VLOOKUP(J13,'Data sheet'!$B$3:$C$32,2,FALSE))))</f>
        <v>5</v>
      </c>
      <c r="L13" s="29"/>
      <c r="M13" s="93">
        <f>IF('Data sheet'!P10="","",'Data sheet'!P10)</f>
        <v>0.003472222222222225</v>
      </c>
      <c r="N13" s="53">
        <f t="shared" si="2"/>
        <v>0.02395833333333333</v>
      </c>
      <c r="O13" s="51">
        <f t="shared" si="3"/>
        <v>1</v>
      </c>
      <c r="P13" s="52">
        <f>IF(O13="","",IF(O13="DNF",$I$32,VLOOKUP(O13,'Data sheet'!$B$3:$C$32,2,FALSE)))</f>
        <v>1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0.003472222222222225</v>
      </c>
      <c r="S13" s="101">
        <f t="shared" si="4"/>
        <v>0.003472222222222225</v>
      </c>
      <c r="T13" s="103">
        <f t="shared" si="5"/>
        <v>0.001388888888888893</v>
      </c>
      <c r="U13" s="104">
        <f t="shared" si="6"/>
        <v>0.001388888888888893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48</v>
      </c>
      <c r="G14" s="10" t="s">
        <v>112</v>
      </c>
      <c r="H14" s="12">
        <v>53</v>
      </c>
      <c r="I14" s="50">
        <f t="shared" si="0"/>
        <v>0.03394675925925926</v>
      </c>
      <c r="J14" s="51">
        <f t="shared" si="1"/>
        <v>10</v>
      </c>
      <c r="K14" s="52">
        <f>IF(ISERROR(VLOOKUP(J14,'Data sheet'!$B$3:$C$32,2,FALSE)),"",IF(I14="DNF",$I$32,(VLOOKUP(J14,'Data sheet'!$B$3:$C$32,2,FALSE))))</f>
        <v>10</v>
      </c>
      <c r="L14" s="29"/>
      <c r="M14" s="93">
        <f>IF('Data sheet'!P11="","",'Data sheet'!P11)</f>
        <v>0.0034722222222222225</v>
      </c>
      <c r="N14" s="53">
        <f t="shared" si="2"/>
        <v>0.030474537037037036</v>
      </c>
      <c r="O14" s="51">
        <f t="shared" si="3"/>
        <v>10</v>
      </c>
      <c r="P14" s="52">
        <f>IF(O14="","",IF(O14="DNF",$I$32,VLOOKUP(O14,'Data sheet'!$B$3:$C$32,2,FALSE)))</f>
        <v>10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0.005555555555555556</v>
      </c>
      <c r="S14" s="101">
        <f t="shared" si="4"/>
        <v>0.005555555555555556</v>
      </c>
      <c r="T14" s="103">
        <f t="shared" si="5"/>
        <v>0.0034722222222222238</v>
      </c>
      <c r="U14" s="104">
        <f t="shared" si="6"/>
        <v>0.0034722222222222238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37</v>
      </c>
      <c r="G15" s="10" t="s">
        <v>112</v>
      </c>
      <c r="H15" s="12">
        <v>33</v>
      </c>
      <c r="I15" s="50">
        <f t="shared" si="0"/>
        <v>0.026076388888888885</v>
      </c>
      <c r="J15" s="51">
        <f t="shared" si="1"/>
        <v>2</v>
      </c>
      <c r="K15" s="52">
        <f>IF(ISERROR(VLOOKUP(J15,'Data sheet'!$B$3:$C$32,2,FALSE)),"",IF(I15="DNF",$I$32,(VLOOKUP(J15,'Data sheet'!$B$3:$C$32,2,FALSE))))</f>
        <v>2</v>
      </c>
      <c r="L15" s="29"/>
      <c r="M15" s="93">
        <f>IF('Data sheet'!P12="","",'Data sheet'!P12)</f>
        <v>0.0013888888888888883</v>
      </c>
      <c r="N15" s="53">
        <f t="shared" si="2"/>
        <v>0.024687499999999998</v>
      </c>
      <c r="O15" s="51">
        <f t="shared" si="3"/>
        <v>2</v>
      </c>
      <c r="P15" s="52">
        <f>IF(O15="","",IF(O15="DNF",$I$32,VLOOKUP(O15,'Data sheet'!$B$3:$C$32,2,FALSE)))</f>
        <v>2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</v>
      </c>
      <c r="S15" s="101">
        <f t="shared" si="4"/>
        <v>0.002083333333333333</v>
      </c>
      <c r="T15" s="103">
        <f t="shared" si="5"/>
        <v>8.673617379884035E-19</v>
      </c>
      <c r="U15" s="104">
        <f t="shared" si="6"/>
        <v>8.673617379884035E-19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sheet'!P13="","",'Data sheet'!P13)</f>
      </c>
      <c r="N16" s="53">
        <f t="shared" si="2"/>
      </c>
      <c r="O16" s="51">
        <f t="shared" si="3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4"/>
      </c>
      <c r="T16" s="103">
        <f t="shared" si="5"/>
      </c>
      <c r="U16" s="104">
        <f t="shared" si="6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sheet'!P14="","",'Data sheet'!P14)</f>
      </c>
      <c r="N17" s="53">
        <f t="shared" si="2"/>
      </c>
      <c r="O17" s="51">
        <f t="shared" si="3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4"/>
      </c>
      <c r="T17" s="103">
        <f t="shared" si="5"/>
      </c>
      <c r="U17" s="104">
        <f t="shared" si="6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sheet'!P15="","",'Data sheet'!P15)</f>
      </c>
      <c r="N18" s="53">
        <f t="shared" si="2"/>
      </c>
      <c r="O18" s="51">
        <f t="shared" si="3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4"/>
      </c>
      <c r="T18" s="103">
        <f t="shared" si="5"/>
      </c>
      <c r="U18" s="104">
        <f t="shared" si="6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sheet'!P16="","",'Data sheet'!P16)</f>
      </c>
      <c r="N19" s="53">
        <f t="shared" si="2"/>
      </c>
      <c r="O19" s="51">
        <f t="shared" si="3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4"/>
      </c>
      <c r="T19" s="103">
        <f t="shared" si="5"/>
      </c>
      <c r="U19" s="104">
        <f t="shared" si="6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sheet'!P17="","",'Data sheet'!P17)</f>
      </c>
      <c r="N20" s="53">
        <f t="shared" si="2"/>
      </c>
      <c r="O20" s="51">
        <f t="shared" si="3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4"/>
      </c>
      <c r="T20" s="103">
        <f t="shared" si="5"/>
      </c>
      <c r="U20" s="104">
        <f t="shared" si="6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sheet'!P18="","",'Data sheet'!P18)</f>
      </c>
      <c r="N21" s="53">
        <f t="shared" si="2"/>
      </c>
      <c r="O21" s="51">
        <f t="shared" si="3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4"/>
      </c>
      <c r="T21" s="103">
        <f t="shared" si="5"/>
      </c>
      <c r="U21" s="104">
        <f t="shared" si="6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sheet'!P19="","",'Data sheet'!P19)</f>
      </c>
      <c r="N22" s="53">
        <f t="shared" si="2"/>
      </c>
      <c r="O22" s="51">
        <f t="shared" si="3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4"/>
      </c>
      <c r="T22" s="103">
        <f t="shared" si="5"/>
      </c>
      <c r="U22" s="104">
        <f t="shared" si="6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sheet'!P20="","",'Data sheet'!P20)</f>
      </c>
      <c r="N23" s="53">
        <f t="shared" si="2"/>
      </c>
      <c r="O23" s="51">
        <f t="shared" si="3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4"/>
      </c>
      <c r="T23" s="103">
        <f t="shared" si="5"/>
      </c>
      <c r="U23" s="104">
        <f t="shared" si="6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sheet'!P21="","",'Data sheet'!P21)</f>
      </c>
      <c r="N24" s="53">
        <f t="shared" si="2"/>
      </c>
      <c r="O24" s="51">
        <f t="shared" si="3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4"/>
      </c>
      <c r="T24" s="103">
        <f t="shared" si="5"/>
      </c>
      <c r="U24" s="104">
        <f t="shared" si="6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sheet'!P22="","",'Data sheet'!P22)</f>
      </c>
      <c r="N25" s="53">
        <f t="shared" si="2"/>
      </c>
      <c r="O25" s="51">
        <f t="shared" si="3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4"/>
      </c>
      <c r="T25" s="103">
        <f t="shared" si="5"/>
      </c>
      <c r="U25" s="104">
        <f t="shared" si="6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sheet'!P23="","",'Data sheet'!P23)</f>
      </c>
      <c r="N26" s="53">
        <f t="shared" si="2"/>
      </c>
      <c r="O26" s="51">
        <f t="shared" si="3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4"/>
      </c>
      <c r="T26" s="103">
        <f t="shared" si="5"/>
      </c>
      <c r="U26" s="104">
        <f t="shared" si="6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sheet'!P24="","",'Data sheet'!P24)</f>
      </c>
      <c r="N27" s="53">
        <f t="shared" si="2"/>
      </c>
      <c r="O27" s="51">
        <f t="shared" si="3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4"/>
      </c>
      <c r="T27" s="103">
        <f t="shared" si="5"/>
      </c>
      <c r="U27" s="104">
        <f t="shared" si="6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sheet'!P25="","",'Data sheet'!P25)</f>
      </c>
      <c r="N28" s="53">
        <f t="shared" si="2"/>
      </c>
      <c r="O28" s="51">
        <f t="shared" si="3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4"/>
      </c>
      <c r="T28" s="103">
        <f t="shared" si="5"/>
      </c>
      <c r="U28" s="104">
        <f t="shared" si="6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sheet'!P26="","",'Data sheet'!P26)</f>
      </c>
      <c r="N29" s="53">
        <f t="shared" si="2"/>
      </c>
      <c r="O29" s="51">
        <f t="shared" si="3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4"/>
      </c>
      <c r="T29" s="103">
        <f t="shared" si="5"/>
      </c>
      <c r="U29" s="104">
        <f t="shared" si="6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sheet'!P27="","",'Data sheet'!P27)</f>
      </c>
      <c r="N30" s="53">
        <f t="shared" si="2"/>
      </c>
      <c r="O30" s="51">
        <f t="shared" si="3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4"/>
      </c>
      <c r="T30" s="103">
        <f t="shared" si="5"/>
      </c>
      <c r="U30" s="104">
        <f t="shared" si="6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0.002083333333333332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1999999999999997" right="0.21999999999999997" top="0.37" bottom="0.21999999999999997" header="0.18000000000000002" footer="0.17000000000000004"/>
  <pageSetup fitToHeight="1" fitToWidth="1" horizontalDpi="600" verticalDpi="600" orientation="landscape" paperSize="9" scale="99"/>
  <headerFooter alignWithMargins="0">
    <oddHeader>&amp;C&amp;F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37"/>
  <sheetViews>
    <sheetView zoomScale="125" zoomScaleNormal="125" zoomScalePageLayoutView="0" workbookViewId="0" topLeftCell="A1">
      <selection activeCell="H12" sqref="H12"/>
    </sheetView>
  </sheetViews>
  <sheetFormatPr defaultColWidth="8.8515625" defaultRowHeight="12.75"/>
  <cols>
    <col min="1" max="1" width="0.85546875" style="0" customWidth="1"/>
    <col min="2" max="2" width="5.00390625" style="0" customWidth="1"/>
    <col min="3" max="3" width="6.00390625" style="0" customWidth="1"/>
    <col min="4" max="4" width="1.421875" style="0" customWidth="1"/>
    <col min="5" max="5" width="9.421875" style="0" bestFit="1" customWidth="1"/>
    <col min="6" max="6" width="31.421875" style="0" customWidth="1"/>
    <col min="7" max="7" width="9.00390625" style="0" customWidth="1"/>
    <col min="8" max="8" width="6.7109375" style="0" bestFit="1" customWidth="1"/>
    <col min="9" max="9" width="6.8515625" style="0" customWidth="1"/>
    <col min="10" max="15" width="6.7109375" style="0" bestFit="1" customWidth="1"/>
    <col min="16" max="18" width="7.7109375" style="0" bestFit="1" customWidth="1"/>
    <col min="19" max="28" width="7.7109375" style="0" customWidth="1"/>
    <col min="29" max="29" width="8.00390625" style="0" bestFit="1" customWidth="1"/>
    <col min="30" max="30" width="0.85546875" style="0" customWidth="1"/>
  </cols>
  <sheetData>
    <row r="1" spans="1:30" ht="18" customHeight="1">
      <c r="A1" s="3"/>
      <c r="B1" s="3"/>
      <c r="C1" s="3"/>
      <c r="D1" s="3"/>
      <c r="E1" s="4" t="s">
        <v>99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8.25">
      <c r="A2" s="3"/>
      <c r="B2" s="161" t="s">
        <v>94</v>
      </c>
      <c r="C2" s="162"/>
      <c r="D2" s="3"/>
      <c r="E2" s="6" t="s">
        <v>63</v>
      </c>
      <c r="F2" s="7" t="s">
        <v>62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79</v>
      </c>
      <c r="P2" s="8" t="s">
        <v>80</v>
      </c>
      <c r="Q2" s="8" t="s">
        <v>120</v>
      </c>
      <c r="R2" s="8" t="s">
        <v>119</v>
      </c>
      <c r="S2" s="8" t="s">
        <v>133</v>
      </c>
      <c r="T2" s="8" t="s">
        <v>132</v>
      </c>
      <c r="U2" s="8" t="s">
        <v>131</v>
      </c>
      <c r="V2" s="8" t="s">
        <v>130</v>
      </c>
      <c r="W2" s="8" t="s">
        <v>129</v>
      </c>
      <c r="X2" s="8" t="s">
        <v>127</v>
      </c>
      <c r="Y2" s="8" t="s">
        <v>126</v>
      </c>
      <c r="Z2" s="8" t="s">
        <v>125</v>
      </c>
      <c r="AA2" s="8" t="s">
        <v>134</v>
      </c>
      <c r="AB2" s="8" t="s">
        <v>135</v>
      </c>
      <c r="AC2" s="13" t="s">
        <v>98</v>
      </c>
      <c r="AD2" s="3"/>
    </row>
    <row r="3" spans="1:30" ht="13.5" customHeight="1">
      <c r="A3" s="3"/>
      <c r="B3" s="2">
        <v>1</v>
      </c>
      <c r="C3" s="2">
        <v>1</v>
      </c>
      <c r="D3" s="5"/>
      <c r="E3" s="74">
        <v>2222</v>
      </c>
      <c r="F3" s="75" t="s">
        <v>26</v>
      </c>
      <c r="G3" s="92">
        <v>0.0062499999999999995</v>
      </c>
      <c r="H3" s="98">
        <f>'Race 1'!U6</f>
        <v>0.005555555555555555</v>
      </c>
      <c r="I3" s="98">
        <f>'Race 2'!U6</f>
        <v>0.005555555555555555</v>
      </c>
      <c r="J3" s="98">
        <f>'Race 3'!U6</f>
        <v>0.0034722222222222216</v>
      </c>
      <c r="K3" s="98">
        <f>'Race 4'!U6</f>
        <v>0.0034722222222222216</v>
      </c>
      <c r="L3" s="98">
        <f>'Race 5'!U6</f>
        <v>0.0013888888888888883</v>
      </c>
      <c r="M3" s="98">
        <f>'Race 6'!U6</f>
        <v>0.0013888888888888883</v>
      </c>
      <c r="N3" s="98">
        <f>'Race 7'!U6</f>
        <v>0.0020833333333333333</v>
      </c>
      <c r="O3" s="98">
        <f>'Race 8'!U6</f>
        <v>0.0027777777777777766</v>
      </c>
      <c r="P3" s="98">
        <f>'Race 9'!U6</f>
        <v>0.002777777777777776</v>
      </c>
      <c r="Q3" s="98">
        <f>'Race 10'!U6</f>
        <v>0.0027777777777777775</v>
      </c>
      <c r="R3" s="98"/>
      <c r="S3" s="98"/>
      <c r="T3" s="98"/>
      <c r="U3" s="98"/>
      <c r="V3" s="1"/>
      <c r="W3" s="1"/>
      <c r="X3" s="1"/>
      <c r="Y3" s="1"/>
      <c r="Z3" s="1"/>
      <c r="AA3" s="1"/>
      <c r="AB3" s="1"/>
      <c r="AC3" s="1"/>
      <c r="AD3" s="3"/>
    </row>
    <row r="4" spans="1:30" ht="13.5" customHeight="1">
      <c r="A4" s="3"/>
      <c r="B4" s="2">
        <v>2</v>
      </c>
      <c r="C4" s="2">
        <v>2</v>
      </c>
      <c r="D4" s="5"/>
      <c r="E4" s="74">
        <v>2228</v>
      </c>
      <c r="F4" s="75" t="s">
        <v>27</v>
      </c>
      <c r="G4" s="92">
        <v>0.003472222222222222</v>
      </c>
      <c r="H4" s="98">
        <f>'Race 1'!U7</f>
        <v>0.0034722222222222216</v>
      </c>
      <c r="I4" s="98">
        <f>'Race 2'!U7</f>
        <v>0.0034722222222222216</v>
      </c>
      <c r="J4" s="98">
        <f>'Race 3'!U7</f>
        <v>0.0034722222222222216</v>
      </c>
      <c r="K4" s="98">
        <f>'Race 4'!U7</f>
        <v>0.0020833333333333324</v>
      </c>
      <c r="L4" s="98">
        <f>'Race 5'!U7</f>
        <v>0.0020833333333333324</v>
      </c>
      <c r="M4" s="98">
        <f>'Race 6'!U7</f>
        <v>0.0006944444444444437</v>
      </c>
      <c r="N4" s="98">
        <f>'Race 7'!U7</f>
        <v>0</v>
      </c>
      <c r="O4" s="98">
        <f>'Race 8'!U7</f>
        <v>0.0006944444444444433</v>
      </c>
      <c r="P4" s="98">
        <f>'Race 9'!U7</f>
        <v>0.0006944444444444433</v>
      </c>
      <c r="Q4" s="98">
        <f>'Race 10'!U7</f>
        <v>0</v>
      </c>
      <c r="R4" s="98"/>
      <c r="S4" s="98"/>
      <c r="T4" s="98"/>
      <c r="U4" s="98"/>
      <c r="V4" s="1"/>
      <c r="W4" s="1"/>
      <c r="X4" s="1"/>
      <c r="Y4" s="1"/>
      <c r="Z4" s="1"/>
      <c r="AA4" s="1"/>
      <c r="AB4" s="1"/>
      <c r="AC4" s="1"/>
      <c r="AD4" s="3"/>
    </row>
    <row r="5" spans="1:30" ht="13.5" customHeight="1">
      <c r="A5" s="3"/>
      <c r="B5" s="2">
        <v>3</v>
      </c>
      <c r="C5" s="2">
        <v>3</v>
      </c>
      <c r="D5" s="5"/>
      <c r="E5" s="74">
        <v>2229</v>
      </c>
      <c r="F5" s="75" t="s">
        <v>25</v>
      </c>
      <c r="G5" s="92">
        <v>0.011111111111111112</v>
      </c>
      <c r="H5" s="98">
        <f>'Race 1'!U8</f>
        <v>0.009027777777777779</v>
      </c>
      <c r="I5" s="98">
        <f>'Race 2'!U8</f>
        <v>0.0076388888888888895</v>
      </c>
      <c r="J5" s="98">
        <f>'Race 3'!U8</f>
        <v>0.0076388888888888895</v>
      </c>
      <c r="K5" s="98">
        <f>'Race 4'!U8</f>
        <v>0.0076388888888888895</v>
      </c>
      <c r="L5" s="98">
        <f>'Race 5'!U8</f>
        <v>0.0076388888888888895</v>
      </c>
      <c r="M5" s="98">
        <f>'Race 6'!U8</f>
        <v>0.0076388888888888895</v>
      </c>
      <c r="N5" s="98">
        <f>'Race 7'!U8</f>
        <v>0.006250000000000001</v>
      </c>
      <c r="O5" s="98">
        <f>'Race 8'!U8</f>
        <v>0.006944444444444445</v>
      </c>
      <c r="P5" s="98">
        <f>'Race 9'!U8</f>
        <v>0.004861111111111111</v>
      </c>
      <c r="Q5" s="98">
        <f>'Race 10'!U8</f>
        <v>0.004861111111111112</v>
      </c>
      <c r="R5" s="98"/>
      <c r="S5" s="98"/>
      <c r="T5" s="98"/>
      <c r="U5" s="98"/>
      <c r="V5" s="1"/>
      <c r="W5" s="1"/>
      <c r="X5" s="1"/>
      <c r="Y5" s="1"/>
      <c r="Z5" s="1"/>
      <c r="AA5" s="1"/>
      <c r="AB5" s="1"/>
      <c r="AC5" s="1"/>
      <c r="AD5" s="3"/>
    </row>
    <row r="6" spans="1:30" ht="13.5" customHeight="1">
      <c r="A6" s="3"/>
      <c r="B6" s="2">
        <v>4</v>
      </c>
      <c r="C6" s="2">
        <v>4</v>
      </c>
      <c r="D6" s="5"/>
      <c r="E6" s="74">
        <v>2230</v>
      </c>
      <c r="F6" s="75" t="s">
        <v>47</v>
      </c>
      <c r="G6" s="92">
        <v>0.004861111111111111</v>
      </c>
      <c r="H6" s="98">
        <f>'Race 1'!U9</f>
        <v>0.004861111111111111</v>
      </c>
      <c r="I6" s="98">
        <f>'Race 2'!U9</f>
        <v>0.004861111111111111</v>
      </c>
      <c r="J6" s="98">
        <f>'Race 3'!U9</f>
        <v>0.004861111111111111</v>
      </c>
      <c r="K6" s="98">
        <f>'Race 4'!U9</f>
        <v>0.0041666666666666675</v>
      </c>
      <c r="L6" s="98">
        <f>'Race 5'!U9</f>
        <v>0.0027777777777777788</v>
      </c>
      <c r="M6" s="98">
        <f>'Race 6'!U9</f>
        <v>0.0027777777777777788</v>
      </c>
      <c r="N6" s="98">
        <f>'Race 7'!U9</f>
        <v>0.0034722222222222238</v>
      </c>
      <c r="O6" s="98">
        <f>'Race 8'!U9</f>
        <v>0.004166666666666667</v>
      </c>
      <c r="P6" s="98">
        <f>'Race 9'!U9</f>
        <v>0.0034722222222222225</v>
      </c>
      <c r="Q6" s="98">
        <f>'Race 10'!U9</f>
        <v>0.0034722222222222238</v>
      </c>
      <c r="R6" s="98"/>
      <c r="S6" s="98"/>
      <c r="T6" s="98"/>
      <c r="U6" s="98"/>
      <c r="V6" s="1"/>
      <c r="W6" s="1"/>
      <c r="X6" s="1"/>
      <c r="Y6" s="1"/>
      <c r="Z6" s="1"/>
      <c r="AA6" s="1"/>
      <c r="AB6" s="1"/>
      <c r="AC6" s="1"/>
      <c r="AD6" s="3"/>
    </row>
    <row r="7" spans="1:30" ht="13.5" customHeight="1">
      <c r="A7" s="3"/>
      <c r="B7" s="2">
        <v>5</v>
      </c>
      <c r="C7" s="2">
        <v>5</v>
      </c>
      <c r="D7" s="5"/>
      <c r="E7" s="74">
        <v>2234</v>
      </c>
      <c r="F7" s="75" t="s">
        <v>128</v>
      </c>
      <c r="G7" s="92">
        <v>0.0006944444444444445</v>
      </c>
      <c r="H7" s="98">
        <f>'Race 1'!U10</f>
        <v>0.0006944444444444446</v>
      </c>
      <c r="I7" s="98">
        <f>'Race 2'!U10</f>
        <v>0.0006944444444444446</v>
      </c>
      <c r="J7" s="98">
        <f>'Race 3'!U10</f>
        <v>0.0006944444444444446</v>
      </c>
      <c r="K7" s="98">
        <f>'Race 4'!U10</f>
        <v>0.0006944444444444446</v>
      </c>
      <c r="L7" s="98">
        <f>'Race 5'!U10</f>
        <v>0.0006944444444444446</v>
      </c>
      <c r="M7" s="98">
        <f>'Race 6'!U10</f>
        <v>4.336808689942018E-19</v>
      </c>
      <c r="N7" s="98">
        <f>'Race 7'!U10</f>
        <v>0.0006944444444444454</v>
      </c>
      <c r="O7" s="98">
        <f>'Race 8'!U10</f>
        <v>0</v>
      </c>
      <c r="P7" s="98">
        <f>'Race 9'!U10</f>
        <v>0</v>
      </c>
      <c r="Q7" s="98">
        <f>'Race 10'!U10</f>
        <v>1.3010426069826053E-18</v>
      </c>
      <c r="R7" s="98"/>
      <c r="S7" s="98"/>
      <c r="T7" s="98"/>
      <c r="U7" s="98"/>
      <c r="V7" s="1"/>
      <c r="W7" s="1"/>
      <c r="X7" s="1"/>
      <c r="Y7" s="1"/>
      <c r="Z7" s="1"/>
      <c r="AA7" s="1"/>
      <c r="AB7" s="1"/>
      <c r="AC7" s="1"/>
      <c r="AD7" s="3"/>
    </row>
    <row r="8" spans="1:30" ht="13.5" customHeight="1">
      <c r="A8" s="3"/>
      <c r="B8" s="2">
        <v>6</v>
      </c>
      <c r="C8" s="2">
        <v>6</v>
      </c>
      <c r="D8" s="5"/>
      <c r="E8" s="74">
        <v>2235</v>
      </c>
      <c r="F8" s="75" t="s">
        <v>90</v>
      </c>
      <c r="G8" s="92">
        <v>0.005555555555555556</v>
      </c>
      <c r="H8" s="98">
        <f>'Race 1'!U11</f>
        <v>0.005555555555555557</v>
      </c>
      <c r="I8" s="98">
        <f>'Race 2'!U11</f>
        <v>0.0034722222222222233</v>
      </c>
      <c r="J8" s="98">
        <f>'Race 3'!U11</f>
        <v>0.002083333333333334</v>
      </c>
      <c r="K8" s="98">
        <f>'Race 4'!U11</f>
        <v>0.002083333333333334</v>
      </c>
      <c r="L8" s="98">
        <f>'Race 5'!U11</f>
        <v>0.002083333333333334</v>
      </c>
      <c r="M8" s="98">
        <f>'Race 6'!U11</f>
        <v>0.002083333333333334</v>
      </c>
      <c r="N8" s="98">
        <f>'Race 7'!U11</f>
        <v>0.0020833333333333346</v>
      </c>
      <c r="O8" s="98">
        <f>'Race 8'!U11</f>
        <v>0.0006944444444444446</v>
      </c>
      <c r="P8" s="98">
        <f>'Race 9'!U11</f>
        <v>0.0006944444444444446</v>
      </c>
      <c r="Q8" s="98">
        <f>'Race 10'!U11</f>
        <v>0.0006944444444444459</v>
      </c>
      <c r="R8" s="98"/>
      <c r="S8" s="98"/>
      <c r="T8" s="98"/>
      <c r="U8" s="98"/>
      <c r="V8" s="1"/>
      <c r="W8" s="1"/>
      <c r="X8" s="1"/>
      <c r="Y8" s="1"/>
      <c r="Z8" s="1"/>
      <c r="AA8" s="1"/>
      <c r="AB8" s="1"/>
      <c r="AC8" s="1"/>
      <c r="AD8" s="3"/>
    </row>
    <row r="9" spans="1:30" ht="13.5" customHeight="1">
      <c r="A9" s="3"/>
      <c r="B9" s="2">
        <v>7</v>
      </c>
      <c r="C9" s="2">
        <v>7</v>
      </c>
      <c r="D9" s="5">
        <v>2233</v>
      </c>
      <c r="E9" s="74">
        <v>2236</v>
      </c>
      <c r="F9" s="75" t="s">
        <v>58</v>
      </c>
      <c r="G9" s="92">
        <v>0.0006944444444444445</v>
      </c>
      <c r="H9" s="98">
        <f>'Race 1'!U12</f>
        <v>0.0006944444444444446</v>
      </c>
      <c r="I9" s="98">
        <f>'Race 2'!U12</f>
        <v>0.0006944444444444446</v>
      </c>
      <c r="J9" s="98">
        <f>'Race 3'!U12</f>
        <v>0.0006944444444444446</v>
      </c>
      <c r="K9" s="98">
        <f>'Race 4'!U12</f>
        <v>0.0006944444444444446</v>
      </c>
      <c r="L9" s="98">
        <f>'Race 5'!U12</f>
        <v>0.0006944444444444446</v>
      </c>
      <c r="M9" s="98">
        <f>'Race 6'!U12</f>
        <v>0.0006944444444444446</v>
      </c>
      <c r="N9" s="98">
        <f>'Race 7'!U12</f>
        <v>0.0013888888888888896</v>
      </c>
      <c r="O9" s="98">
        <f>'Race 8'!U12</f>
        <v>0.002083333333333333</v>
      </c>
      <c r="P9" s="98">
        <f>'Race 9'!U12</f>
        <v>0.0020833333333333324</v>
      </c>
      <c r="Q9" s="98">
        <f>'Race 10'!U12</f>
        <v>0.0020833333333333337</v>
      </c>
      <c r="R9" s="98"/>
      <c r="S9" s="98"/>
      <c r="T9" s="98"/>
      <c r="U9" s="98"/>
      <c r="V9" s="1"/>
      <c r="W9" s="1"/>
      <c r="X9" s="1"/>
      <c r="Y9" s="1"/>
      <c r="Z9" s="1"/>
      <c r="AA9" s="1"/>
      <c r="AB9" s="1"/>
      <c r="AC9" s="1"/>
      <c r="AD9" s="3"/>
    </row>
    <row r="10" spans="1:30" ht="13.5" customHeight="1">
      <c r="A10" s="3"/>
      <c r="B10" s="2">
        <v>8</v>
      </c>
      <c r="C10" s="2">
        <v>8</v>
      </c>
      <c r="D10" s="5">
        <v>2235</v>
      </c>
      <c r="E10" s="74">
        <v>2237</v>
      </c>
      <c r="F10" s="75" t="s">
        <v>28</v>
      </c>
      <c r="G10" s="92">
        <v>0.005555555555555556</v>
      </c>
      <c r="H10" s="98">
        <f>'Race 1'!U13</f>
        <v>0.005555555555555557</v>
      </c>
      <c r="I10" s="98">
        <f>'Race 2'!U13</f>
        <v>0.004861111111111113</v>
      </c>
      <c r="J10" s="98">
        <f>'Race 3'!U13</f>
        <v>0.004861111111111113</v>
      </c>
      <c r="K10" s="98">
        <f>'Race 4'!U13</f>
        <v>0.004861111111111113</v>
      </c>
      <c r="L10" s="98">
        <f>'Race 5'!U13</f>
        <v>0.004166666666666669</v>
      </c>
      <c r="M10" s="98">
        <f>'Race 6'!U13</f>
        <v>0.002083333333333336</v>
      </c>
      <c r="N10" s="98">
        <f>'Race 7'!U13</f>
        <v>0.002777777777777781</v>
      </c>
      <c r="O10" s="98">
        <f>'Race 8'!U13</f>
        <v>0.0034722222222222246</v>
      </c>
      <c r="P10" s="98">
        <f>'Race 9'!U13</f>
        <v>0.003472222222222225</v>
      </c>
      <c r="Q10" s="98">
        <f>'Race 10'!U13</f>
        <v>0.001388888888888893</v>
      </c>
      <c r="R10" s="98"/>
      <c r="S10" s="98"/>
      <c r="T10" s="98"/>
      <c r="U10" s="98"/>
      <c r="V10" s="1"/>
      <c r="W10" s="1"/>
      <c r="X10" s="1"/>
      <c r="Y10" s="1"/>
      <c r="Z10" s="1"/>
      <c r="AA10" s="1"/>
      <c r="AB10" s="1"/>
      <c r="AC10" s="1"/>
      <c r="AD10" s="3"/>
    </row>
    <row r="11" spans="1:30" ht="13.5" customHeight="1">
      <c r="A11" s="3"/>
      <c r="B11" s="2">
        <v>9</v>
      </c>
      <c r="C11" s="2">
        <v>9</v>
      </c>
      <c r="D11" s="5"/>
      <c r="E11" s="74">
        <v>2240</v>
      </c>
      <c r="F11" s="75" t="s">
        <v>29</v>
      </c>
      <c r="G11" s="92">
        <v>0.008333333333333333</v>
      </c>
      <c r="H11" s="98">
        <f>'Race 1'!U14</f>
        <v>0.006944444444444444</v>
      </c>
      <c r="I11" s="98">
        <f>'Race 2'!U14</f>
        <v>0.006944444444444444</v>
      </c>
      <c r="J11" s="98">
        <f>'Race 3'!U14</f>
        <v>0.00625</v>
      </c>
      <c r="K11" s="98">
        <f>'Race 4'!U14</f>
        <v>0.0041666666666666675</v>
      </c>
      <c r="L11" s="98">
        <f>'Race 5'!U14</f>
        <v>0.0041666666666666675</v>
      </c>
      <c r="M11" s="98">
        <f>'Race 6'!U14</f>
        <v>0.0041666666666666675</v>
      </c>
      <c r="N11" s="98">
        <f>'Race 7'!U14</f>
        <v>0.004861111111111112</v>
      </c>
      <c r="O11" s="98">
        <f>'Race 8'!U14</f>
        <v>0.004861111111111111</v>
      </c>
      <c r="P11" s="98">
        <f>'Race 9'!U14</f>
        <v>0.0034722222222222225</v>
      </c>
      <c r="Q11" s="98">
        <f>'Race 10'!U14</f>
        <v>0.0034722222222222238</v>
      </c>
      <c r="R11" s="98"/>
      <c r="S11" s="98"/>
      <c r="T11" s="98"/>
      <c r="U11" s="98"/>
      <c r="V11" s="1"/>
      <c r="W11" s="1"/>
      <c r="X11" s="1"/>
      <c r="Y11" s="1"/>
      <c r="Z11" s="1"/>
      <c r="AA11" s="1"/>
      <c r="AB11" s="1"/>
      <c r="AC11" s="1"/>
      <c r="AD11" s="3"/>
    </row>
    <row r="12" spans="1:30" ht="13.5" customHeight="1">
      <c r="A12" s="3"/>
      <c r="B12" s="2">
        <v>10</v>
      </c>
      <c r="C12" s="2">
        <v>10</v>
      </c>
      <c r="D12" s="5"/>
      <c r="E12" s="74">
        <v>2242</v>
      </c>
      <c r="F12" s="75" t="s">
        <v>59</v>
      </c>
      <c r="G12" s="92">
        <v>0</v>
      </c>
      <c r="H12" s="98">
        <f>'Race 1'!U15</f>
        <v>0</v>
      </c>
      <c r="I12" s="98">
        <f>'Race 2'!U15</f>
        <v>0</v>
      </c>
      <c r="J12" s="98">
        <f>'Race 3'!U15</f>
        <v>0</v>
      </c>
      <c r="K12" s="98">
        <f>'Race 4'!U15</f>
        <v>0</v>
      </c>
      <c r="L12" s="98">
        <f>'Race 5'!U15</f>
        <v>0</v>
      </c>
      <c r="M12" s="98">
        <f>'Race 6'!U15</f>
        <v>0</v>
      </c>
      <c r="N12" s="98">
        <f>'Race 7'!U15</f>
        <v>0.000694444444444445</v>
      </c>
      <c r="O12" s="98">
        <f>'Race 8'!U15</f>
        <v>0.0013888888888888883</v>
      </c>
      <c r="P12" s="98">
        <f>'Race 9'!U15</f>
        <v>0.0013888888888888883</v>
      </c>
      <c r="Q12" s="98">
        <f>'Race 10'!U15</f>
        <v>8.673617379884035E-19</v>
      </c>
      <c r="R12" s="98"/>
      <c r="S12" s="98"/>
      <c r="T12" s="98"/>
      <c r="U12" s="98"/>
      <c r="V12" s="1"/>
      <c r="W12" s="1"/>
      <c r="X12" s="1"/>
      <c r="Y12" s="1"/>
      <c r="Z12" s="1"/>
      <c r="AA12" s="1"/>
      <c r="AB12" s="1"/>
      <c r="AC12" s="1"/>
      <c r="AD12" s="3"/>
    </row>
    <row r="13" spans="1:30" ht="13.5" customHeight="1">
      <c r="A13" s="3"/>
      <c r="B13" s="2">
        <v>11</v>
      </c>
      <c r="C13" s="2">
        <v>11</v>
      </c>
      <c r="D13" s="5"/>
      <c r="E13" s="74"/>
      <c r="F13" s="75"/>
      <c r="G13" s="92"/>
      <c r="H13" s="98">
        <f>'Race 1'!U16</f>
      </c>
      <c r="I13" s="98">
        <f>'Race 2'!U16</f>
      </c>
      <c r="J13" s="98">
        <f>'Race 3'!U16</f>
      </c>
      <c r="K13" s="98">
        <f>'Race 4'!U16</f>
      </c>
      <c r="L13" s="98">
        <f>'Race 5'!U16</f>
      </c>
      <c r="M13" s="98">
        <f>'Race 6'!U16</f>
      </c>
      <c r="N13" s="98">
        <f>'Race 7'!U16</f>
      </c>
      <c r="O13" s="98">
        <f>'Race 8'!U16</f>
      </c>
      <c r="P13" s="98">
        <f>'Race 9'!U16</f>
      </c>
      <c r="Q13" s="98">
        <f>'Race 10'!U16</f>
      </c>
      <c r="R13" s="98"/>
      <c r="S13" s="98"/>
      <c r="T13" s="98"/>
      <c r="U13" s="98"/>
      <c r="V13" s="1"/>
      <c r="W13" s="1"/>
      <c r="X13" s="1"/>
      <c r="Y13" s="1"/>
      <c r="Z13" s="1"/>
      <c r="AA13" s="1"/>
      <c r="AB13" s="1"/>
      <c r="AC13" s="1"/>
      <c r="AD13" s="3"/>
    </row>
    <row r="14" spans="1:30" ht="13.5" customHeight="1">
      <c r="A14" s="3"/>
      <c r="B14" s="2">
        <v>12</v>
      </c>
      <c r="C14" s="2">
        <v>12</v>
      </c>
      <c r="D14" s="5"/>
      <c r="E14" s="74"/>
      <c r="F14" s="75"/>
      <c r="G14" s="92"/>
      <c r="H14" s="98">
        <f>'Race 1'!U17</f>
      </c>
      <c r="I14" s="98">
        <f>'Race 2'!U17</f>
      </c>
      <c r="J14" s="98">
        <f>'Race 3'!U17</f>
      </c>
      <c r="K14" s="98">
        <f>'Race 4'!U17</f>
      </c>
      <c r="L14" s="98">
        <f>'Race 5'!U17</f>
      </c>
      <c r="M14" s="98">
        <f>'Race 6'!U17</f>
      </c>
      <c r="N14" s="98">
        <f>'Race 7'!U17</f>
      </c>
      <c r="O14" s="98">
        <f>'Race 8'!U17</f>
      </c>
      <c r="P14" s="98">
        <f>'Race 9'!U17</f>
      </c>
      <c r="Q14" s="98">
        <f>'Race 10'!U17</f>
      </c>
      <c r="R14" s="98"/>
      <c r="S14" s="98"/>
      <c r="T14" s="98"/>
      <c r="U14" s="98"/>
      <c r="V14" s="1"/>
      <c r="W14" s="1"/>
      <c r="X14" s="1"/>
      <c r="Y14" s="1"/>
      <c r="Z14" s="1"/>
      <c r="AA14" s="1"/>
      <c r="AB14" s="1"/>
      <c r="AC14" s="1"/>
      <c r="AD14" s="3"/>
    </row>
    <row r="15" spans="1:30" ht="13.5" customHeight="1">
      <c r="A15" s="3"/>
      <c r="B15" s="2">
        <v>13</v>
      </c>
      <c r="C15" s="2">
        <v>13</v>
      </c>
      <c r="D15" s="5"/>
      <c r="E15" s="74"/>
      <c r="F15" s="75"/>
      <c r="G15" s="92"/>
      <c r="H15" s="98">
        <f>'Race 1'!U18</f>
      </c>
      <c r="I15" s="98">
        <f>'Race 2'!U18</f>
      </c>
      <c r="J15" s="98">
        <f>'Race 3'!U18</f>
      </c>
      <c r="K15" s="98">
        <f>'Race 4'!U18</f>
      </c>
      <c r="L15" s="98">
        <f>'Race 5'!U18</f>
      </c>
      <c r="M15" s="98">
        <f>'Race 6'!U18</f>
      </c>
      <c r="N15" s="98">
        <f>'Race 7'!U18</f>
      </c>
      <c r="O15" s="98">
        <f>'Race 8'!U18</f>
      </c>
      <c r="P15" s="98">
        <f>'Race 9'!U18</f>
      </c>
      <c r="Q15" s="98">
        <f>'Race 10'!U18</f>
      </c>
      <c r="R15" s="98"/>
      <c r="S15" s="98"/>
      <c r="T15" s="98"/>
      <c r="U15" s="98"/>
      <c r="V15" s="1"/>
      <c r="W15" s="1"/>
      <c r="X15" s="1"/>
      <c r="Y15" s="1"/>
      <c r="Z15" s="1"/>
      <c r="AA15" s="1"/>
      <c r="AB15" s="1"/>
      <c r="AC15" s="1"/>
      <c r="AD15" s="3"/>
    </row>
    <row r="16" spans="1:30" ht="13.5" customHeight="1">
      <c r="A16" s="3"/>
      <c r="B16" s="2">
        <v>14</v>
      </c>
      <c r="C16" s="2">
        <v>14</v>
      </c>
      <c r="D16" s="5"/>
      <c r="E16" s="74"/>
      <c r="F16" s="75"/>
      <c r="G16" s="92"/>
      <c r="H16" s="98">
        <f>'Race 1'!U19</f>
      </c>
      <c r="I16" s="98">
        <f>'Race 2'!U19</f>
      </c>
      <c r="J16" s="98">
        <f>'Race 3'!U19</f>
      </c>
      <c r="K16" s="98">
        <f>'Race 4'!U19</f>
      </c>
      <c r="L16" s="98">
        <f>'Race 5'!U19</f>
      </c>
      <c r="M16" s="98">
        <f>'Race 6'!U19</f>
      </c>
      <c r="N16" s="98">
        <f>'Race 7'!U19</f>
      </c>
      <c r="O16" s="98">
        <f>'Race 8'!U19</f>
      </c>
      <c r="P16" s="98">
        <f>'Race 9'!U19</f>
      </c>
      <c r="Q16" s="98">
        <f>'Race 10'!U19</f>
      </c>
      <c r="R16" s="98"/>
      <c r="S16" s="98"/>
      <c r="T16" s="98"/>
      <c r="U16" s="98"/>
      <c r="V16" s="1"/>
      <c r="W16" s="1"/>
      <c r="X16" s="1"/>
      <c r="Y16" s="1"/>
      <c r="Z16" s="1"/>
      <c r="AA16" s="1"/>
      <c r="AB16" s="1"/>
      <c r="AC16" s="1"/>
      <c r="AD16" s="3"/>
    </row>
    <row r="17" spans="1:30" ht="13.5" customHeight="1">
      <c r="A17" s="3"/>
      <c r="B17" s="2">
        <v>15</v>
      </c>
      <c r="C17" s="2">
        <v>15</v>
      </c>
      <c r="D17" s="5"/>
      <c r="E17" s="74"/>
      <c r="F17" s="75"/>
      <c r="G17" s="92"/>
      <c r="H17" s="98">
        <f>'Race 1'!U20</f>
      </c>
      <c r="I17" s="98">
        <f>'Race 2'!U20</f>
      </c>
      <c r="J17" s="98">
        <f>'Race 3'!U20</f>
      </c>
      <c r="K17" s="98">
        <f>'Race 4'!U20</f>
      </c>
      <c r="L17" s="98">
        <f>'Race 5'!U20</f>
      </c>
      <c r="M17" s="98">
        <f>'Race 6'!U20</f>
      </c>
      <c r="N17" s="98">
        <f>'Race 7'!U20</f>
      </c>
      <c r="O17" s="98">
        <f>'Race 8'!U20</f>
      </c>
      <c r="P17" s="98">
        <f>'Race 9'!U20</f>
      </c>
      <c r="Q17" s="98">
        <f>'Race 10'!U20</f>
      </c>
      <c r="R17" s="98"/>
      <c r="S17" s="98"/>
      <c r="T17" s="98"/>
      <c r="U17" s="98"/>
      <c r="V17" s="1"/>
      <c r="W17" s="1"/>
      <c r="X17" s="1"/>
      <c r="Y17" s="1"/>
      <c r="Z17" s="1"/>
      <c r="AA17" s="1"/>
      <c r="AB17" s="1"/>
      <c r="AC17" s="1"/>
      <c r="AD17" s="3"/>
    </row>
    <row r="18" spans="1:30" ht="13.5" customHeight="1">
      <c r="A18" s="3"/>
      <c r="B18" s="2">
        <v>16</v>
      </c>
      <c r="C18" s="2">
        <v>16</v>
      </c>
      <c r="D18" s="5"/>
      <c r="E18" s="74"/>
      <c r="F18" s="75"/>
      <c r="G18" s="92"/>
      <c r="H18" s="98">
        <f>'Race 1'!U21</f>
      </c>
      <c r="I18" s="98">
        <f>'Race 2'!U21</f>
      </c>
      <c r="J18" s="98">
        <f>'Race 3'!U21</f>
      </c>
      <c r="K18" s="98">
        <f>'Race 4'!U21</f>
      </c>
      <c r="L18" s="98">
        <f>'Race 5'!U21</f>
      </c>
      <c r="M18" s="98">
        <f>'Race 6'!U21</f>
      </c>
      <c r="N18" s="98">
        <f>'Race 7'!U21</f>
      </c>
      <c r="O18" s="98">
        <f>'Race 8'!U21</f>
      </c>
      <c r="P18" s="98">
        <f>'Race 9'!U21</f>
      </c>
      <c r="Q18" s="98">
        <f>'Race 10'!U21</f>
      </c>
      <c r="R18" s="98"/>
      <c r="S18" s="98"/>
      <c r="T18" s="98"/>
      <c r="U18" s="98"/>
      <c r="V18" s="1"/>
      <c r="W18" s="1"/>
      <c r="X18" s="1"/>
      <c r="Y18" s="1"/>
      <c r="Z18" s="1"/>
      <c r="AA18" s="1"/>
      <c r="AB18" s="1"/>
      <c r="AC18" s="1"/>
      <c r="AD18" s="3"/>
    </row>
    <row r="19" spans="1:30" ht="13.5" customHeight="1">
      <c r="A19" s="3"/>
      <c r="B19" s="2">
        <v>17</v>
      </c>
      <c r="C19" s="2">
        <v>17</v>
      </c>
      <c r="D19" s="5"/>
      <c r="E19" s="74"/>
      <c r="F19" s="75"/>
      <c r="G19" s="92"/>
      <c r="H19" s="98">
        <f>'Race 1'!U22</f>
      </c>
      <c r="I19" s="98">
        <f>'Race 2'!U22</f>
      </c>
      <c r="J19" s="98">
        <f>'Race 3'!U22</f>
      </c>
      <c r="K19" s="98">
        <f>'Race 4'!U22</f>
      </c>
      <c r="L19" s="98">
        <f>'Race 5'!U22</f>
      </c>
      <c r="M19" s="98">
        <f>'Race 6'!U22</f>
      </c>
      <c r="N19" s="98">
        <f>'Race 7'!U22</f>
      </c>
      <c r="O19" s="98">
        <f>'Race 8'!U22</f>
      </c>
      <c r="P19" s="98">
        <f>'Race 9'!U22</f>
      </c>
      <c r="Q19" s="98">
        <f>'Race 10'!U22</f>
      </c>
      <c r="R19" s="98"/>
      <c r="S19" s="98"/>
      <c r="T19" s="98"/>
      <c r="U19" s="1"/>
      <c r="V19" s="1"/>
      <c r="W19" s="1"/>
      <c r="X19" s="1"/>
      <c r="Y19" s="1"/>
      <c r="Z19" s="1"/>
      <c r="AA19" s="1"/>
      <c r="AB19" s="1"/>
      <c r="AC19" s="1"/>
      <c r="AD19" s="3"/>
    </row>
    <row r="20" spans="1:30" ht="13.5" customHeight="1">
      <c r="A20" s="3"/>
      <c r="B20" s="2">
        <v>18</v>
      </c>
      <c r="C20" s="2">
        <v>18</v>
      </c>
      <c r="D20" s="5"/>
      <c r="E20" s="74"/>
      <c r="F20" s="75"/>
      <c r="G20" s="92"/>
      <c r="H20" s="98">
        <f>'Race 1'!U23</f>
      </c>
      <c r="I20" s="98">
        <f>'Race 2'!U23</f>
      </c>
      <c r="J20" s="98">
        <f>'Race 3'!U23</f>
      </c>
      <c r="K20" s="98">
        <f>'Race 4'!U23</f>
      </c>
      <c r="L20" s="98">
        <f>'Race 5'!U23</f>
      </c>
      <c r="M20" s="98">
        <f>'Race 6'!U23</f>
      </c>
      <c r="N20" s="98">
        <f>'Race 7'!U23</f>
      </c>
      <c r="O20" s="98">
        <f>'Race 8'!U23</f>
      </c>
      <c r="P20" s="98">
        <f>'Race 9'!U23</f>
      </c>
      <c r="Q20" s="98">
        <f>'Race 10'!U23</f>
      </c>
      <c r="R20" s="98"/>
      <c r="S20" s="98"/>
      <c r="T20" s="98"/>
      <c r="U20" s="1"/>
      <c r="V20" s="1"/>
      <c r="W20" s="1"/>
      <c r="X20" s="1"/>
      <c r="Y20" s="1"/>
      <c r="Z20" s="1"/>
      <c r="AA20" s="1"/>
      <c r="AB20" s="1"/>
      <c r="AC20" s="1"/>
      <c r="AD20" s="3"/>
    </row>
    <row r="21" spans="1:30" ht="13.5" customHeight="1">
      <c r="A21" s="3"/>
      <c r="B21" s="2">
        <v>19</v>
      </c>
      <c r="C21" s="2">
        <v>19</v>
      </c>
      <c r="D21" s="5"/>
      <c r="E21" s="74"/>
      <c r="F21" s="75"/>
      <c r="G21" s="76"/>
      <c r="H21" s="1">
        <f>'Race 1'!U24</f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3"/>
    </row>
    <row r="22" spans="1:30" ht="13.5" customHeight="1">
      <c r="A22" s="3"/>
      <c r="B22" s="2">
        <v>20</v>
      </c>
      <c r="C22" s="2">
        <v>20</v>
      </c>
      <c r="D22" s="5"/>
      <c r="E22" s="74"/>
      <c r="F22" s="75"/>
      <c r="G22" s="76"/>
      <c r="H22" s="1">
        <f>'Race 1'!U25</f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"/>
    </row>
    <row r="23" spans="1:30" ht="13.5" customHeight="1">
      <c r="A23" s="3"/>
      <c r="B23" s="2">
        <v>21</v>
      </c>
      <c r="C23" s="2">
        <v>21</v>
      </c>
      <c r="D23" s="5"/>
      <c r="E23" s="11"/>
      <c r="F23" s="78"/>
      <c r="G23" s="79"/>
      <c r="H23" s="1">
        <f>'Race 1'!U26</f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3"/>
    </row>
    <row r="24" spans="1:30" ht="13.5" customHeight="1">
      <c r="A24" s="3"/>
      <c r="B24" s="2">
        <v>22</v>
      </c>
      <c r="C24" s="2">
        <v>22</v>
      </c>
      <c r="D24" s="5"/>
      <c r="E24" s="77"/>
      <c r="F24" s="78"/>
      <c r="G24" s="79"/>
      <c r="H24" s="1">
        <f>'Race 1'!U27</f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3"/>
    </row>
    <row r="25" spans="1:30" ht="13.5" customHeight="1">
      <c r="A25" s="3"/>
      <c r="B25" s="2">
        <v>23</v>
      </c>
      <c r="C25" s="2">
        <v>23</v>
      </c>
      <c r="D25" s="5"/>
      <c r="E25" s="77"/>
      <c r="F25" s="78"/>
      <c r="G25" s="79"/>
      <c r="H25" s="1">
        <f>'Race 1'!U28</f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"/>
    </row>
    <row r="26" spans="1:30" ht="13.5" customHeight="1">
      <c r="A26" s="3"/>
      <c r="B26" s="2">
        <v>24</v>
      </c>
      <c r="C26" s="2">
        <v>24</v>
      </c>
      <c r="D26" s="5"/>
      <c r="E26" s="77"/>
      <c r="F26" s="78"/>
      <c r="G26" s="79"/>
      <c r="H26" s="1">
        <f>'Race 1'!U29</f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3"/>
    </row>
    <row r="27" spans="1:30" ht="13.5" customHeight="1">
      <c r="A27" s="3"/>
      <c r="B27" s="2">
        <v>25</v>
      </c>
      <c r="C27" s="2">
        <v>25</v>
      </c>
      <c r="D27" s="5"/>
      <c r="E27" s="77"/>
      <c r="F27" s="78"/>
      <c r="G27" s="80"/>
      <c r="H27" s="1">
        <f>'Race 1'!U30</f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3"/>
    </row>
    <row r="28" spans="1:30" ht="12.75">
      <c r="A28" s="3"/>
      <c r="B28" s="2">
        <v>31</v>
      </c>
      <c r="C28" s="2">
        <v>31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>
      <c r="A29" s="3"/>
      <c r="B29" s="2">
        <v>32</v>
      </c>
      <c r="C29" s="2">
        <v>32</v>
      </c>
      <c r="D29" s="3"/>
      <c r="E29" s="3"/>
      <c r="F29" s="14" t="s">
        <v>114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>
      <c r="A30" s="3"/>
      <c r="B30" s="2" t="s">
        <v>65</v>
      </c>
      <c r="C30" s="20">
        <f>COUNTA(F3:F27)+1</f>
        <v>11</v>
      </c>
      <c r="D30" s="3"/>
      <c r="E30" s="3"/>
      <c r="F30" s="15" t="s">
        <v>115</v>
      </c>
      <c r="G30" s="94">
        <v>0</v>
      </c>
      <c r="H30" s="3"/>
      <c r="I30" s="105" t="s">
        <v>145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>
      <c r="A31" s="3"/>
      <c r="B31" s="2" t="s">
        <v>66</v>
      </c>
      <c r="C31" s="20">
        <f>COUNTA(F3:F27)+2</f>
        <v>12</v>
      </c>
      <c r="D31" s="3"/>
      <c r="E31" s="3"/>
      <c r="F31" s="15" t="s">
        <v>116</v>
      </c>
      <c r="G31" s="94">
        <v>0.0006944444444444445</v>
      </c>
      <c r="H31" s="3"/>
      <c r="I31" s="105" t="s">
        <v>146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>
      <c r="A32" s="3"/>
      <c r="B32" s="2" t="s">
        <v>67</v>
      </c>
      <c r="C32" s="9" t="s">
        <v>113</v>
      </c>
      <c r="D32" s="3"/>
      <c r="E32" s="3"/>
      <c r="F32" s="15" t="s">
        <v>117</v>
      </c>
      <c r="G32" s="94">
        <v>0.001388888888888889</v>
      </c>
      <c r="H32" s="3"/>
      <c r="I32" s="105" t="s">
        <v>147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>
      <c r="A33" s="3"/>
      <c r="B33" s="3"/>
      <c r="C33" s="3"/>
      <c r="D33" s="3"/>
      <c r="E33" s="3"/>
      <c r="F33" s="15" t="s">
        <v>118</v>
      </c>
      <c r="G33" s="94">
        <v>0.0020833333333333333</v>
      </c>
      <c r="H33" s="16"/>
      <c r="I33" s="105" t="s">
        <v>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>
      <c r="A34" s="3"/>
      <c r="B34" s="3"/>
      <c r="C34" s="3"/>
      <c r="D34" s="3"/>
      <c r="E34" s="3"/>
      <c r="F34" s="96" t="s">
        <v>67</v>
      </c>
      <c r="G34" s="97">
        <v>0.0020833333333333333</v>
      </c>
      <c r="H34" s="16"/>
      <c r="I34" s="105" t="s">
        <v>57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>
      <c r="A35" s="3"/>
      <c r="B35" s="3"/>
      <c r="C35" s="3"/>
      <c r="D35" s="3"/>
      <c r="E35" s="3"/>
      <c r="F35" s="99" t="s">
        <v>143</v>
      </c>
      <c r="G35" s="100">
        <v>0.0020833333333333333</v>
      </c>
      <c r="I35" s="3" t="s">
        <v>148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7" ht="12">
      <c r="F37" s="3" t="s">
        <v>149</v>
      </c>
    </row>
  </sheetData>
  <sheetProtection/>
  <mergeCells count="1">
    <mergeCell ref="B2:C2"/>
  </mergeCells>
  <printOptions/>
  <pageMargins left="0.2" right="0.2" top="0.5" bottom="0.25" header="0.18" footer="0.16"/>
  <pageSetup horizontalDpi="600" verticalDpi="600" orientation="landscape" paperSize="9"/>
  <headerFooter alignWithMargins="0">
    <oddHeader>&amp;C&amp;F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V62"/>
  <sheetViews>
    <sheetView tabSelected="1" zoomScale="125" zoomScaleNormal="125" zoomScalePageLayoutView="0" workbookViewId="0" topLeftCell="A1">
      <selection activeCell="U32" sqref="U32"/>
    </sheetView>
  </sheetViews>
  <sheetFormatPr defaultColWidth="11.57421875" defaultRowHeight="12.75"/>
  <cols>
    <col min="1" max="1" width="8.140625" style="21" customWidth="1"/>
    <col min="2" max="2" width="33.8515625" style="30" customWidth="1"/>
    <col min="3" max="3" width="5.28125" style="23" bestFit="1" customWidth="1"/>
    <col min="4" max="10" width="5.28125" style="23" customWidth="1"/>
    <col min="11" max="11" width="5.421875" style="23" customWidth="1"/>
    <col min="12" max="12" width="6.00390625" style="23" customWidth="1"/>
    <col min="13" max="13" width="7.421875" style="23" hidden="1" customWidth="1"/>
    <col min="14" max="14" width="6.140625" style="23" hidden="1" customWidth="1"/>
    <col min="15" max="15" width="8.421875" style="23" hidden="1" customWidth="1"/>
    <col min="16" max="16" width="5.7109375" style="23" hidden="1" customWidth="1"/>
    <col min="17" max="17" width="7.28125" style="23" customWidth="1"/>
    <col min="18" max="19" width="9.8515625" style="23" customWidth="1"/>
    <col min="20" max="20" width="10.28125" style="23" customWidth="1"/>
    <col min="21" max="23" width="11.00390625" style="23" customWidth="1"/>
    <col min="24" max="24" width="34.140625" style="23" customWidth="1"/>
    <col min="25" max="33" width="4.7109375" style="23" customWidth="1"/>
    <col min="34" max="45" width="5.28125" style="23" customWidth="1"/>
    <col min="46" max="48" width="3.421875" style="23" bestFit="1" customWidth="1"/>
    <col min="49" max="16384" width="11.421875" style="23" customWidth="1"/>
  </cols>
  <sheetData>
    <row r="1" spans="2:48" ht="16.5">
      <c r="B1" s="22" t="s">
        <v>1</v>
      </c>
      <c r="C1" s="65" t="str">
        <f>IF('Race 1'!$C$1="Championship","CC",IF('Race 1'!$C$1="Point Score","PS",IF('Race 1'!$C$1="Handicap","PSh",IF('Race 1'!$C$1="Abandoned","Abd",""))))</f>
        <v>CC</v>
      </c>
      <c r="D1" s="65" t="str">
        <f>IF('Race 2'!$C$1="Championship","CC",IF('Race 2'!$C$1="Point Score","PS",IF('Race 2'!$C$1="Handicap","PSh",IF('Race 2'!$C$1="Abandoned","Abd",""))))</f>
        <v>CC</v>
      </c>
      <c r="E1" s="65" t="str">
        <f>IF('Race 3'!$C$1="Championship","CC",IF('Race 3'!$C$1="Point Score","PS",IF('Race 3'!$C$1="Handicap","PSh",IF('Race 3'!$C$1="Abandoned","Abd",""))))</f>
        <v>CC</v>
      </c>
      <c r="F1" s="65" t="str">
        <f>IF('Race 4'!$C$1="Championship","CC",IF('Race 4'!$C$1="Point Score","PS",IF('Race 4'!$C$1="Handicap","PSh",IF('Race 4'!$C$1="Abandoned","Abd",""))))</f>
        <v>CC</v>
      </c>
      <c r="G1" s="65" t="str">
        <f>IF('Race 5'!$C$1="Championship","CC",IF('Race 5'!$C$1="Point Score","PS",IF('Race 5'!$C$1="Handicap","PSh",IF('Race 5'!$C$1="Abandoned","Abd",""))))</f>
        <v>CC</v>
      </c>
      <c r="H1" s="65" t="str">
        <f>IF('Race 6'!$C$1="Championship","CC",IF('Race 6'!$C$1="Point Score","PS",IF('Race 6'!$C$1="Handicap","PSh",IF('Race 6'!$C$1="Abandoned","Abd",""))))</f>
        <v>CC</v>
      </c>
      <c r="I1" s="65" t="str">
        <f>IF('Race 7'!$C$1="Championship","CC",IF('Race 7'!$C$1="Point Score","PS",IF('Race 7'!$C$1="Handicap","PSh",IF('Race 7'!$C$1="Abandoned","Abd",""))))</f>
        <v>CC</v>
      </c>
      <c r="J1" s="65" t="str">
        <f>IF('Race 8'!$C$1="Championship","CC",IF('Race 8'!$C$1="Point Score","PS",IF('Race 8'!$C$1="Handicap","PSh",IF('Race 8'!$C$1="Abandoned","Abd",""))))</f>
        <v>CC</v>
      </c>
      <c r="K1" s="65" t="str">
        <f>IF('Race 8'!$C$1="Championship","CC",IF('Race 8'!$C$1="Point Score","PS",IF('Race 8'!$C$1="Handicap","PSh",IF('Race 8'!$C$1="Abandoned","Abd",""))))</f>
        <v>CC</v>
      </c>
      <c r="L1" s="65" t="str">
        <f>IF('Race 8'!$C$1="Championship","CC",IF('Race 8'!$C$1="Point Score","PS",IF('Race 8'!$C$1="Handicap","PSh",IF('Race 8'!$C$1="Abandoned","Abd",""))))</f>
        <v>CC</v>
      </c>
      <c r="M1" s="65"/>
      <c r="N1" s="65"/>
      <c r="O1" s="65"/>
      <c r="P1" s="65"/>
      <c r="Q1" s="88"/>
      <c r="R1" s="88"/>
      <c r="S1" s="88"/>
      <c r="U1" s="24"/>
      <c r="W1" s="110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s="30" customFormat="1" ht="32.25" customHeight="1" thickBot="1">
      <c r="A2" s="25" t="s">
        <v>63</v>
      </c>
      <c r="B2" s="26" t="s">
        <v>62</v>
      </c>
      <c r="C2" s="27" t="s">
        <v>30</v>
      </c>
      <c r="D2" s="27" t="s">
        <v>31</v>
      </c>
      <c r="E2" s="27" t="s">
        <v>32</v>
      </c>
      <c r="F2" s="27" t="s">
        <v>78</v>
      </c>
      <c r="G2" s="27" t="s">
        <v>33</v>
      </c>
      <c r="H2" s="27" t="s">
        <v>34</v>
      </c>
      <c r="I2" s="27" t="s">
        <v>35</v>
      </c>
      <c r="J2" s="27" t="s">
        <v>36</v>
      </c>
      <c r="K2" s="27" t="s">
        <v>37</v>
      </c>
      <c r="L2" s="27" t="s">
        <v>38</v>
      </c>
      <c r="M2" s="27"/>
      <c r="N2" s="27"/>
      <c r="O2" s="27"/>
      <c r="P2" s="27"/>
      <c r="Q2" s="27" t="s">
        <v>142</v>
      </c>
      <c r="R2" s="27" t="s">
        <v>53</v>
      </c>
      <c r="S2" s="27" t="s">
        <v>54</v>
      </c>
      <c r="T2" s="25" t="s">
        <v>141</v>
      </c>
      <c r="U2" s="28" t="s">
        <v>95</v>
      </c>
      <c r="V2" s="29"/>
      <c r="W2" s="111"/>
      <c r="X2" s="112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138"/>
      <c r="AU2" s="138"/>
      <c r="AV2" s="138"/>
    </row>
    <row r="3" spans="1:48" ht="13.5" thickBot="1">
      <c r="A3" s="31">
        <f>IF('Data sheet'!E3=0,"",'Data sheet'!E3)</f>
        <v>2222</v>
      </c>
      <c r="B3" s="84" t="str">
        <f>IF('Data sheet'!F3=0,"",'Data sheet'!F3)</f>
        <v>Planet Beer</v>
      </c>
      <c r="C3" s="83">
        <f>'Race 1'!K6</f>
        <v>4</v>
      </c>
      <c r="D3" s="86">
        <f>'Race 2'!K6</f>
        <v>8</v>
      </c>
      <c r="E3" s="33">
        <f>'Race 3'!K6</f>
        <v>6</v>
      </c>
      <c r="F3" s="33">
        <f>'Race 4'!K6</f>
        <v>6</v>
      </c>
      <c r="G3" s="33">
        <f>'Race 5'!K6</f>
        <v>5</v>
      </c>
      <c r="H3" s="33">
        <f>'Race 6'!K6</f>
        <v>6</v>
      </c>
      <c r="I3" s="33">
        <f>'Race 7'!K6</f>
        <v>7</v>
      </c>
      <c r="J3" s="33">
        <f>'Race 8'!K6</f>
        <v>6</v>
      </c>
      <c r="K3" s="33">
        <f>'Race 9'!K6</f>
        <v>6</v>
      </c>
      <c r="L3" s="136">
        <f>'Race 10'!K6</f>
        <v>7</v>
      </c>
      <c r="M3" s="33"/>
      <c r="N3" s="33"/>
      <c r="O3" s="33"/>
      <c r="P3" s="33"/>
      <c r="Q3" s="89">
        <f>SUM(Champ1)</f>
        <v>61</v>
      </c>
      <c r="R3" s="108">
        <f aca="true" t="shared" si="0" ref="R3:R12">IF(ISERROR(LARGE(C3:M3,1)),0,LARGE(C3:M3,1))</f>
        <v>8</v>
      </c>
      <c r="S3" s="108">
        <f>IF(ISERROR(LARGE(C3:L3,2)),0,LARGE(C3:L3,2))</f>
        <v>7</v>
      </c>
      <c r="T3" s="107">
        <f>Q3-R3-S3</f>
        <v>46</v>
      </c>
      <c r="U3" s="66">
        <f>IF(ISERROR(RANK(T3,Champ_Score,1)),"",RANK(T3,Champ_Score,1))</f>
        <v>6</v>
      </c>
      <c r="W3" s="63"/>
      <c r="X3" s="64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</row>
    <row r="4" spans="1:48" ht="13.5" thickBot="1">
      <c r="A4" s="31">
        <f>IF('Data sheet'!E4=0,"",'Data sheet'!E4)</f>
        <v>2228</v>
      </c>
      <c r="B4" s="84" t="str">
        <f>IF('Data sheet'!F4=0,"",'Data sheet'!F4)</f>
        <v>SFC Computers</v>
      </c>
      <c r="C4" s="85">
        <f>'Race 1'!K7</f>
        <v>5</v>
      </c>
      <c r="D4" s="36">
        <f>'Race 2'!K7</f>
        <v>5</v>
      </c>
      <c r="E4" s="36">
        <f>'Race 3'!K7</f>
        <v>5</v>
      </c>
      <c r="F4" s="36">
        <f>'Race 4'!K7</f>
        <v>1</v>
      </c>
      <c r="G4" s="36">
        <f>'Race 5'!K7</f>
        <v>3</v>
      </c>
      <c r="H4" s="36">
        <f>'Race 6'!K7</f>
        <v>3</v>
      </c>
      <c r="I4" s="36">
        <f>'Race 7'!K7</f>
        <v>1</v>
      </c>
      <c r="J4" s="36">
        <f>'Race 8'!K7</f>
        <v>2</v>
      </c>
      <c r="K4" s="36">
        <f>'Race 9'!K7</f>
        <v>3</v>
      </c>
      <c r="L4" s="137">
        <f>'Race 10'!K7</f>
        <v>1</v>
      </c>
      <c r="M4" s="36"/>
      <c r="N4" s="36"/>
      <c r="O4" s="36"/>
      <c r="P4" s="36"/>
      <c r="Q4" s="90">
        <f>SUM(Champ2)</f>
        <v>29</v>
      </c>
      <c r="R4" s="108">
        <f t="shared" si="0"/>
        <v>5</v>
      </c>
      <c r="S4" s="108">
        <f aca="true" t="shared" si="1" ref="S4:S12">IF(ISERROR(LARGE(C4:L4,2)),0,LARGE(C4:L4,2))</f>
        <v>5</v>
      </c>
      <c r="T4" s="107">
        <f aca="true" t="shared" si="2" ref="T4:T12">Q4-R4-S4</f>
        <v>19</v>
      </c>
      <c r="U4" s="39">
        <f>IF(ISERROR(RANK(T4,Champ_Score,1)),"",RANK(T4,Champ_Score,1))</f>
        <v>3</v>
      </c>
      <c r="W4" s="63"/>
      <c r="X4" s="64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</row>
    <row r="5" spans="1:48" ht="13.5" thickBot="1">
      <c r="A5" s="31">
        <f>IF('Data sheet'!E5=0,"",'Data sheet'!E5)</f>
        <v>2229</v>
      </c>
      <c r="B5" s="84" t="str">
        <f>IF('Data sheet'!F5=0,"",'Data sheet'!F5)</f>
        <v>Devocean</v>
      </c>
      <c r="C5" s="85">
        <f>'Race 1'!K8</f>
        <v>10</v>
      </c>
      <c r="D5" s="36">
        <f>'Race 2'!K8</f>
        <v>9</v>
      </c>
      <c r="E5" s="36">
        <f>'Race 3'!K8</f>
        <v>10</v>
      </c>
      <c r="F5" s="36">
        <f>'Race 4'!K8</f>
        <v>10</v>
      </c>
      <c r="G5" s="36">
        <f>'Race 5'!K8</f>
        <v>9</v>
      </c>
      <c r="H5" s="36">
        <f>'Race 6'!K8</f>
        <v>9</v>
      </c>
      <c r="I5" s="36">
        <f>'Race 7'!K8</f>
        <v>10</v>
      </c>
      <c r="J5" s="36">
        <f>'Race 8'!K8</f>
        <v>10</v>
      </c>
      <c r="K5" s="36">
        <f>'Race 9'!K8</f>
        <v>10</v>
      </c>
      <c r="L5" s="137">
        <f>'Race 10'!K8</f>
        <v>9</v>
      </c>
      <c r="M5" s="36"/>
      <c r="N5" s="36"/>
      <c r="O5" s="36"/>
      <c r="P5" s="36"/>
      <c r="Q5" s="90">
        <f>SUM(Champ3)</f>
        <v>96</v>
      </c>
      <c r="R5" s="108">
        <f t="shared" si="0"/>
        <v>10</v>
      </c>
      <c r="S5" s="108">
        <f t="shared" si="1"/>
        <v>10</v>
      </c>
      <c r="T5" s="107">
        <f t="shared" si="2"/>
        <v>76</v>
      </c>
      <c r="U5" s="39">
        <f aca="true" t="shared" si="3" ref="U5:U12">IF(ISERROR(RANK(T5,Champ_Score,1)),"",RANK(T5,Champ_Score,1))</f>
        <v>10</v>
      </c>
      <c r="W5" s="63"/>
      <c r="X5" s="64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</row>
    <row r="6" spans="1:48" ht="13.5" thickBot="1">
      <c r="A6" s="31">
        <f>IF('Data sheet'!E6=0,"",'Data sheet'!E6)</f>
        <v>2230</v>
      </c>
      <c r="B6" s="84" t="str">
        <f>IF('Data sheet'!F6=0,"",'Data sheet'!F6)</f>
        <v>Raptor</v>
      </c>
      <c r="C6" s="85">
        <f>'Race 1'!K9</f>
        <v>9</v>
      </c>
      <c r="D6" s="36">
        <f>'Race 2'!K9</f>
        <v>7</v>
      </c>
      <c r="E6" s="36">
        <f>'Race 3'!K9</f>
        <v>8</v>
      </c>
      <c r="F6" s="36">
        <f>'Race 4'!K9</f>
        <v>7</v>
      </c>
      <c r="G6" s="36">
        <f>'Race 5'!K9</f>
        <v>6</v>
      </c>
      <c r="H6" s="36">
        <f>'Race 6'!K9</f>
        <v>8</v>
      </c>
      <c r="I6" s="36">
        <f>'Race 7'!K9</f>
        <v>5</v>
      </c>
      <c r="J6" s="36">
        <f>'Race 8'!K9</f>
        <v>7</v>
      </c>
      <c r="K6" s="36">
        <f>'Race 9'!K9</f>
        <v>8</v>
      </c>
      <c r="L6" s="137">
        <f>'Race 10'!K9</f>
        <v>8</v>
      </c>
      <c r="M6" s="36"/>
      <c r="N6" s="36"/>
      <c r="O6" s="36"/>
      <c r="P6" s="36"/>
      <c r="Q6" s="90">
        <f>SUM(Champ4)</f>
        <v>73</v>
      </c>
      <c r="R6" s="108">
        <f t="shared" si="0"/>
        <v>9</v>
      </c>
      <c r="S6" s="108">
        <f t="shared" si="1"/>
        <v>8</v>
      </c>
      <c r="T6" s="107">
        <f t="shared" si="2"/>
        <v>56</v>
      </c>
      <c r="U6" s="39">
        <f t="shared" si="3"/>
        <v>8</v>
      </c>
      <c r="W6" s="63"/>
      <c r="X6" s="64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</row>
    <row r="7" spans="1:48" ht="13.5" thickBot="1">
      <c r="A7" s="31">
        <f>IF('Data sheet'!E7=0,"",'Data sheet'!E7)</f>
        <v>2234</v>
      </c>
      <c r="B7" s="84" t="str">
        <f>IF('Data sheet'!F7=0,"",'Data sheet'!F7)</f>
        <v>Meeks Real Estate</v>
      </c>
      <c r="C7" s="85">
        <f>'Race 1'!K10</f>
        <v>3</v>
      </c>
      <c r="D7" s="36">
        <f>'Race 2'!K10</f>
        <v>4</v>
      </c>
      <c r="E7" s="36">
        <f>'Race 3'!K10</f>
        <v>2</v>
      </c>
      <c r="F7" s="36">
        <f>'Race 4'!K10</f>
        <v>5</v>
      </c>
      <c r="G7" s="36">
        <f>'Race 5'!K10</f>
        <v>4</v>
      </c>
      <c r="H7" s="36">
        <f>'Race 6'!K10</f>
        <v>1</v>
      </c>
      <c r="I7" s="36">
        <f>'Race 7'!K10</f>
        <v>2</v>
      </c>
      <c r="J7" s="36">
        <f>'Race 8'!K10</f>
        <v>1</v>
      </c>
      <c r="K7" s="36">
        <f>'Race 9'!K10</f>
        <v>1</v>
      </c>
      <c r="L7" s="137">
        <f>'Race 10'!K10</f>
        <v>3</v>
      </c>
      <c r="M7" s="36"/>
      <c r="N7" s="36"/>
      <c r="O7" s="36"/>
      <c r="P7" s="36"/>
      <c r="Q7" s="90">
        <f>SUM(Champ5)</f>
        <v>26</v>
      </c>
      <c r="R7" s="108">
        <f t="shared" si="0"/>
        <v>5</v>
      </c>
      <c r="S7" s="108">
        <f t="shared" si="1"/>
        <v>4</v>
      </c>
      <c r="T7" s="107">
        <f t="shared" si="2"/>
        <v>17</v>
      </c>
      <c r="U7" s="39">
        <f t="shared" si="3"/>
        <v>2</v>
      </c>
      <c r="W7" s="63"/>
      <c r="X7" s="64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</row>
    <row r="8" spans="1:48" ht="13.5" thickBot="1">
      <c r="A8" s="31">
        <f>IF('Data sheet'!E8=0,"",'Data sheet'!E8)</f>
        <v>2235</v>
      </c>
      <c r="B8" s="84" t="str">
        <f>IF('Data sheet'!F8=0,"",'Data sheet'!F8)</f>
        <v>Black Diamond</v>
      </c>
      <c r="C8" s="85">
        <f>'Race 1'!K11</f>
        <v>6</v>
      </c>
      <c r="D8" s="36">
        <f>'Race 2'!K11</f>
        <v>3</v>
      </c>
      <c r="E8" s="36">
        <f>'Race 3'!K11</f>
        <v>4</v>
      </c>
      <c r="F8" s="36">
        <f>'Race 4'!K11</f>
        <v>2</v>
      </c>
      <c r="G8" s="36">
        <f>'Race 5'!K11</f>
        <v>7</v>
      </c>
      <c r="H8" s="36">
        <f>'Race 6'!K11</f>
        <v>7</v>
      </c>
      <c r="I8" s="36">
        <f>'Race 7'!K11</f>
        <v>4</v>
      </c>
      <c r="J8" s="36">
        <f>'Race 8'!K11</f>
        <v>3</v>
      </c>
      <c r="K8" s="36">
        <f>'Race 9'!K11</f>
        <v>5</v>
      </c>
      <c r="L8" s="137">
        <f>'Race 10'!K11</f>
        <v>4</v>
      </c>
      <c r="M8" s="36"/>
      <c r="N8" s="36"/>
      <c r="O8" s="36"/>
      <c r="P8" s="36"/>
      <c r="Q8" s="90">
        <f>SUM(Champ6)</f>
        <v>45</v>
      </c>
      <c r="R8" s="108">
        <f t="shared" si="0"/>
        <v>7</v>
      </c>
      <c r="S8" s="108">
        <f t="shared" si="1"/>
        <v>7</v>
      </c>
      <c r="T8" s="107">
        <f t="shared" si="2"/>
        <v>31</v>
      </c>
      <c r="U8" s="39">
        <f t="shared" si="3"/>
        <v>5</v>
      </c>
      <c r="W8" s="63"/>
      <c r="X8" s="64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</row>
    <row r="9" spans="1:48" ht="13.5" thickBot="1">
      <c r="A9" s="31">
        <f>IF('Data sheet'!E9=0,"",'Data sheet'!E9)</f>
        <v>2236</v>
      </c>
      <c r="B9" s="84" t="str">
        <f>IF('Data sheet'!F9=0,"",'Data sheet'!F9)</f>
        <v>Troy Botting Shipwright</v>
      </c>
      <c r="C9" s="85">
        <f>'Race 1'!K12</f>
        <v>2</v>
      </c>
      <c r="D9" s="36">
        <f>'Race 2'!K12</f>
        <v>2</v>
      </c>
      <c r="E9" s="36">
        <f>'Race 3'!K12</f>
        <v>3</v>
      </c>
      <c r="F9" s="36">
        <f>'Race 4'!K12</f>
        <v>3</v>
      </c>
      <c r="G9" s="36">
        <f>'Race 5'!K12</f>
        <v>1</v>
      </c>
      <c r="H9" s="36">
        <f>'Race 6'!K12</f>
        <v>4</v>
      </c>
      <c r="I9" s="36">
        <f>'Race 7'!K12</f>
        <v>6</v>
      </c>
      <c r="J9" s="36">
        <f>'Race 8'!K12</f>
        <v>5</v>
      </c>
      <c r="K9" s="36">
        <f>'Race 9'!K12</f>
        <v>4</v>
      </c>
      <c r="L9" s="137">
        <f>'Race 10'!K12</f>
        <v>6</v>
      </c>
      <c r="M9" s="36"/>
      <c r="N9" s="36"/>
      <c r="O9" s="36"/>
      <c r="P9" s="36"/>
      <c r="Q9" s="90">
        <f>SUM(Champ7)</f>
        <v>36</v>
      </c>
      <c r="R9" s="108">
        <f t="shared" si="0"/>
        <v>6</v>
      </c>
      <c r="S9" s="108">
        <f t="shared" si="1"/>
        <v>6</v>
      </c>
      <c r="T9" s="107">
        <f t="shared" si="2"/>
        <v>24</v>
      </c>
      <c r="U9" s="39">
        <f t="shared" si="3"/>
        <v>4</v>
      </c>
      <c r="W9" s="63"/>
      <c r="X9" s="64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</row>
    <row r="10" spans="1:48" ht="13.5" thickBot="1">
      <c r="A10" s="31">
        <f>IF('Data sheet'!E10=0,"",'Data sheet'!E10)</f>
        <v>2237</v>
      </c>
      <c r="B10" s="84" t="str">
        <f>IF('Data sheet'!F10=0,"",'Data sheet'!F10)</f>
        <v>Stowe</v>
      </c>
      <c r="C10" s="85">
        <f>'Race 1'!K13</f>
        <v>8</v>
      </c>
      <c r="D10" s="36">
        <f>'Race 2'!K13</f>
        <v>6</v>
      </c>
      <c r="E10" s="36">
        <f>'Race 3'!K13</f>
        <v>7</v>
      </c>
      <c r="F10" s="36">
        <f>'Race 4'!K13</f>
        <v>8</v>
      </c>
      <c r="G10" s="36">
        <f>'Race 5'!K13</f>
        <v>8</v>
      </c>
      <c r="H10" s="36">
        <f>'Race 6'!K13</f>
        <v>5</v>
      </c>
      <c r="I10" s="36">
        <f>'Race 7'!K13</f>
        <v>8</v>
      </c>
      <c r="J10" s="36">
        <f>'Race 8'!K13</f>
        <v>8</v>
      </c>
      <c r="K10" s="36">
        <f>'Race 9'!K13</f>
        <v>7</v>
      </c>
      <c r="L10" s="137">
        <f>'Race 10'!K13</f>
        <v>5</v>
      </c>
      <c r="M10" s="36"/>
      <c r="N10" s="36"/>
      <c r="O10" s="36"/>
      <c r="P10" s="36"/>
      <c r="Q10" s="90">
        <f>SUM(Champ8)</f>
        <v>70</v>
      </c>
      <c r="R10" s="108">
        <f t="shared" si="0"/>
        <v>8</v>
      </c>
      <c r="S10" s="108">
        <f t="shared" si="1"/>
        <v>8</v>
      </c>
      <c r="T10" s="107">
        <f t="shared" si="2"/>
        <v>54</v>
      </c>
      <c r="U10" s="39">
        <f t="shared" si="3"/>
        <v>7</v>
      </c>
      <c r="W10" s="63"/>
      <c r="X10" s="64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</row>
    <row r="11" spans="1:48" ht="13.5" thickBot="1">
      <c r="A11" s="31">
        <f>IF('Data sheet'!E11=0,"",'Data sheet'!E11)</f>
        <v>2240</v>
      </c>
      <c r="B11" s="84" t="str">
        <f>IF('Data sheet'!F11=0,"",'Data sheet'!F11)</f>
        <v>Narwahl</v>
      </c>
      <c r="C11" s="85">
        <f>'Race 1'!K14</f>
        <v>7</v>
      </c>
      <c r="D11" s="36">
        <f>'Race 2'!K14</f>
        <v>10</v>
      </c>
      <c r="E11" s="36">
        <f>'Race 3'!K14</f>
        <v>9</v>
      </c>
      <c r="F11" s="36">
        <f>'Race 4'!K14</f>
        <v>9</v>
      </c>
      <c r="G11" s="36">
        <f>'Race 5'!K14</f>
        <v>11</v>
      </c>
      <c r="H11" s="36">
        <f>'Race 6'!K14</f>
        <v>11</v>
      </c>
      <c r="I11" s="36">
        <f>'Race 7'!K14</f>
        <v>9</v>
      </c>
      <c r="J11" s="36">
        <f>'Race 8'!K14</f>
        <v>9</v>
      </c>
      <c r="K11" s="36">
        <f>'Race 9'!K14</f>
        <v>9</v>
      </c>
      <c r="L11" s="137">
        <f>'Race 10'!K14</f>
        <v>10</v>
      </c>
      <c r="M11" s="36"/>
      <c r="N11" s="36"/>
      <c r="O11" s="36"/>
      <c r="P11" s="36"/>
      <c r="Q11" s="90">
        <f>SUM(Champ9)</f>
        <v>94</v>
      </c>
      <c r="R11" s="108">
        <f t="shared" si="0"/>
        <v>11</v>
      </c>
      <c r="S11" s="108">
        <f t="shared" si="1"/>
        <v>11</v>
      </c>
      <c r="T11" s="107">
        <f t="shared" si="2"/>
        <v>72</v>
      </c>
      <c r="U11" s="39">
        <f t="shared" si="3"/>
        <v>9</v>
      </c>
      <c r="W11" s="63"/>
      <c r="X11" s="64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</row>
    <row r="12" spans="1:48" ht="13.5" thickBot="1">
      <c r="A12" s="31">
        <f>IF('Data sheet'!E12=0,"",'Data sheet'!E12)</f>
        <v>2242</v>
      </c>
      <c r="B12" s="84" t="str">
        <f>IF('Data sheet'!F12=0,"",'Data sheet'!F12)</f>
        <v>Firestorm</v>
      </c>
      <c r="C12" s="85">
        <f>'Race 1'!K15</f>
        <v>1</v>
      </c>
      <c r="D12" s="36">
        <f>'Race 2'!K15</f>
        <v>1</v>
      </c>
      <c r="E12" s="36">
        <f>'Race 3'!K15</f>
        <v>1</v>
      </c>
      <c r="F12" s="36">
        <f>'Race 4'!K15</f>
        <v>4</v>
      </c>
      <c r="G12" s="36">
        <f>'Race 5'!K15</f>
        <v>2</v>
      </c>
      <c r="H12" s="36">
        <f>'Race 6'!K15</f>
        <v>2</v>
      </c>
      <c r="I12" s="36">
        <f>'Race 7'!K15</f>
        <v>3</v>
      </c>
      <c r="J12" s="36">
        <f>'Race 8'!K15</f>
        <v>4</v>
      </c>
      <c r="K12" s="36">
        <f>'Race 9'!K15</f>
        <v>2</v>
      </c>
      <c r="L12" s="137">
        <f>'Race 10'!K15</f>
        <v>2</v>
      </c>
      <c r="M12" s="36"/>
      <c r="N12" s="36"/>
      <c r="O12" s="36"/>
      <c r="P12" s="36"/>
      <c r="Q12" s="90">
        <f>SUM(Champ10)</f>
        <v>22</v>
      </c>
      <c r="R12" s="108">
        <f t="shared" si="0"/>
        <v>4</v>
      </c>
      <c r="S12" s="108">
        <f t="shared" si="1"/>
        <v>4</v>
      </c>
      <c r="T12" s="107">
        <f t="shared" si="2"/>
        <v>14</v>
      </c>
      <c r="U12" s="39">
        <f t="shared" si="3"/>
        <v>1</v>
      </c>
      <c r="W12" s="63"/>
      <c r="X12" s="64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</row>
    <row r="13" spans="1:48" ht="13.5" thickBot="1">
      <c r="A13" s="31">
        <f>IF('Data sheet'!E13=0,"",'Data sheet'!E13)</f>
      </c>
      <c r="B13" s="84">
        <f>IF('Data sheet'!F13=0,"",'Data sheet'!F13)</f>
      </c>
      <c r="C13" s="85">
        <f>'Race 1'!K16</f>
      </c>
      <c r="D13" s="36">
        <f>'Race 2'!K16</f>
      </c>
      <c r="E13" s="36">
        <f>'Race 3'!K16</f>
      </c>
      <c r="F13" s="36">
        <f>'Race 4'!K16</f>
      </c>
      <c r="G13" s="36">
        <f>'Race 5'!K16</f>
      </c>
      <c r="H13" s="36">
        <f>'Race 6'!K16</f>
      </c>
      <c r="I13" s="36">
        <f>'Race 7'!K16</f>
      </c>
      <c r="J13" s="36">
        <f>'Race 8'!K16</f>
      </c>
      <c r="K13" s="36">
        <f>'Race 9'!K16</f>
      </c>
      <c r="L13" s="137">
        <f>'Race 10'!K16</f>
      </c>
      <c r="M13" s="36"/>
      <c r="N13" s="36"/>
      <c r="O13" s="36"/>
      <c r="P13" s="36"/>
      <c r="Q13" s="90"/>
      <c r="R13" s="108"/>
      <c r="S13" s="108"/>
      <c r="T13" s="107"/>
      <c r="U13" s="39"/>
      <c r="W13" s="63"/>
      <c r="X13" s="64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</row>
    <row r="14" spans="1:48" ht="13.5" thickBot="1">
      <c r="A14" s="31">
        <f>IF('Data sheet'!E14=0,"",'Data sheet'!E14)</f>
      </c>
      <c r="B14" s="84">
        <f>IF('Data sheet'!F14=0,"",'Data sheet'!F14)</f>
      </c>
      <c r="C14" s="85">
        <f>'Race 1'!K17</f>
      </c>
      <c r="D14" s="36">
        <f>'Race 2'!K17</f>
      </c>
      <c r="E14" s="36">
        <f>'Race 3'!K17</f>
      </c>
      <c r="F14" s="36">
        <f>'Race 4'!K17</f>
      </c>
      <c r="G14" s="36">
        <f>'Race 5'!K17</f>
      </c>
      <c r="H14" s="36">
        <f>'Race 6'!K17</f>
      </c>
      <c r="I14" s="36">
        <f>'Race 7'!K17</f>
      </c>
      <c r="J14" s="36">
        <f>'Race 8'!K17</f>
      </c>
      <c r="K14" s="36">
        <f>'Race 9'!K17</f>
      </c>
      <c r="L14" s="137">
        <f>'Race 10'!K17</f>
      </c>
      <c r="M14" s="36"/>
      <c r="N14" s="36"/>
      <c r="O14" s="36"/>
      <c r="P14" s="36"/>
      <c r="Q14" s="90"/>
      <c r="R14" s="108"/>
      <c r="S14" s="108"/>
      <c r="T14" s="107"/>
      <c r="U14" s="39"/>
      <c r="W14" s="63"/>
      <c r="X14" s="64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</row>
    <row r="15" spans="1:48" ht="13.5" thickBot="1">
      <c r="A15" s="31">
        <f>IF('Data sheet'!E15=0,"",'Data sheet'!E15)</f>
      </c>
      <c r="B15" s="84">
        <f>IF('Data sheet'!F15=0,"",'Data sheet'!F15)</f>
      </c>
      <c r="C15" s="85">
        <f>'Race 1'!K18</f>
      </c>
      <c r="D15" s="36">
        <f>'Race 2'!K18</f>
      </c>
      <c r="E15" s="36">
        <f>'Race 3'!K18</f>
      </c>
      <c r="F15" s="36">
        <f>'Race 4'!K18</f>
      </c>
      <c r="G15" s="36">
        <f>'Race 5'!K18</f>
      </c>
      <c r="H15" s="36">
        <f>'Race 6'!K18</f>
      </c>
      <c r="I15" s="36">
        <f>'Race 7'!K18</f>
      </c>
      <c r="J15" s="36">
        <f>'Race 8'!K18</f>
      </c>
      <c r="K15" s="36">
        <f>'Race 9'!K18</f>
      </c>
      <c r="L15" s="137">
        <f>'Race 10'!K18</f>
      </c>
      <c r="M15" s="36"/>
      <c r="N15" s="36"/>
      <c r="O15" s="36"/>
      <c r="P15" s="36"/>
      <c r="Q15" s="90"/>
      <c r="R15" s="108"/>
      <c r="S15" s="108"/>
      <c r="T15" s="107"/>
      <c r="U15" s="39"/>
      <c r="W15" s="63"/>
      <c r="X15" s="64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</row>
    <row r="16" spans="1:48" ht="13.5" thickBot="1">
      <c r="A16" s="31">
        <f>IF('Data sheet'!E16=0,"",'Data sheet'!E16)</f>
      </c>
      <c r="B16" s="84">
        <f>IF('Data sheet'!F16=0,"",'Data sheet'!F16)</f>
      </c>
      <c r="C16" s="85">
        <f>'Race 1'!K19</f>
      </c>
      <c r="D16" s="36">
        <f>'Race 2'!K19</f>
      </c>
      <c r="E16" s="36">
        <f>'Race 3'!K19</f>
      </c>
      <c r="F16" s="36">
        <f>'Race 4'!K19</f>
      </c>
      <c r="G16" s="36">
        <f>'Race 5'!K19</f>
      </c>
      <c r="H16" s="36">
        <f>'Race 6'!K19</f>
      </c>
      <c r="I16" s="36">
        <f>'Race 7'!K19</f>
      </c>
      <c r="J16" s="36">
        <f>'Race 8'!K19</f>
      </c>
      <c r="K16" s="36">
        <f>'Race 9'!K19</f>
      </c>
      <c r="L16" s="137">
        <f>'Race 10'!K19</f>
      </c>
      <c r="M16" s="36"/>
      <c r="N16" s="36"/>
      <c r="O16" s="36"/>
      <c r="P16" s="36"/>
      <c r="Q16" s="90"/>
      <c r="R16" s="108"/>
      <c r="S16" s="108"/>
      <c r="T16" s="107"/>
      <c r="U16" s="39"/>
      <c r="W16" s="63"/>
      <c r="X16" s="64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</row>
    <row r="17" spans="1:48" ht="13.5" thickBot="1">
      <c r="A17" s="31">
        <f>IF('Data sheet'!E17=0,"",'Data sheet'!E17)</f>
      </c>
      <c r="B17" s="84">
        <f>IF('Data sheet'!F17=0,"",'Data sheet'!F17)</f>
      </c>
      <c r="C17" s="85">
        <f>'Race 1'!K20</f>
      </c>
      <c r="D17" s="36">
        <f>'Race 2'!K20</f>
      </c>
      <c r="E17" s="36">
        <f>'Race 3'!K20</f>
      </c>
      <c r="F17" s="36">
        <f>'Race 4'!K20</f>
      </c>
      <c r="G17" s="36">
        <f>'Race 5'!K20</f>
      </c>
      <c r="H17" s="36">
        <f>'Race 6'!K20</f>
      </c>
      <c r="I17" s="36">
        <f>'Race 7'!K20</f>
      </c>
      <c r="J17" s="36">
        <f>'Race 8'!K20</f>
      </c>
      <c r="K17" s="36">
        <f>'Race 9'!K20</f>
      </c>
      <c r="L17" s="137">
        <f>'Race 10'!K20</f>
      </c>
      <c r="M17" s="36"/>
      <c r="N17" s="36"/>
      <c r="O17" s="36"/>
      <c r="P17" s="36"/>
      <c r="Q17" s="90"/>
      <c r="R17" s="108"/>
      <c r="S17" s="108"/>
      <c r="T17" s="107"/>
      <c r="U17" s="39"/>
      <c r="W17" s="63"/>
      <c r="X17" s="64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</row>
    <row r="18" spans="1:48" ht="13.5" thickBot="1">
      <c r="A18" s="31">
        <f>IF('Data sheet'!E18=0,"",'Data sheet'!E18)</f>
      </c>
      <c r="B18" s="84">
        <f>IF('Data sheet'!F18=0,"",'Data sheet'!F18)</f>
      </c>
      <c r="C18" s="85">
        <f>'Race 1'!K21</f>
      </c>
      <c r="D18" s="36">
        <f>'Race 2'!K21</f>
      </c>
      <c r="E18" s="36">
        <f>'Race 3'!K21</f>
      </c>
      <c r="F18" s="36">
        <f>'Race 4'!K21</f>
      </c>
      <c r="G18" s="36">
        <f>'Race 5'!K21</f>
      </c>
      <c r="H18" s="36">
        <f>'Race 6'!K21</f>
      </c>
      <c r="I18" s="36">
        <f>'Race 7'!K21</f>
      </c>
      <c r="J18" s="36">
        <f>'Race 8'!K21</f>
      </c>
      <c r="K18" s="36">
        <f>'Race 9'!K21</f>
      </c>
      <c r="L18" s="137">
        <f>'Race 10'!K21</f>
      </c>
      <c r="M18" s="36"/>
      <c r="N18" s="36"/>
      <c r="O18" s="36"/>
      <c r="P18" s="36"/>
      <c r="Q18" s="90"/>
      <c r="R18" s="108"/>
      <c r="S18" s="108"/>
      <c r="T18" s="107"/>
      <c r="U18" s="39"/>
      <c r="W18" s="63"/>
      <c r="X18" s="64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</row>
    <row r="19" spans="1:48" ht="13.5" thickBot="1">
      <c r="A19" s="31"/>
      <c r="B19" s="84"/>
      <c r="C19" s="85"/>
      <c r="D19" s="36"/>
      <c r="E19" s="36"/>
      <c r="F19" s="36"/>
      <c r="G19" s="36"/>
      <c r="H19" s="36"/>
      <c r="I19" s="36"/>
      <c r="J19" s="36"/>
      <c r="K19" s="36"/>
      <c r="L19" s="122"/>
      <c r="M19" s="37"/>
      <c r="N19" s="37"/>
      <c r="O19" s="37"/>
      <c r="P19" s="37"/>
      <c r="Q19" s="90"/>
      <c r="R19" s="108"/>
      <c r="S19" s="108"/>
      <c r="T19" s="107"/>
      <c r="U19" s="66"/>
      <c r="W19" s="63"/>
      <c r="X19" s="64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</row>
    <row r="20" spans="1:48" ht="13.5" thickBot="1">
      <c r="A20" s="31"/>
      <c r="B20" s="84"/>
      <c r="C20" s="123"/>
      <c r="D20" s="124"/>
      <c r="E20" s="124"/>
      <c r="F20" s="124"/>
      <c r="G20" s="124"/>
      <c r="H20" s="124"/>
      <c r="I20" s="124"/>
      <c r="J20" s="124"/>
      <c r="K20" s="37"/>
      <c r="L20" s="125"/>
      <c r="M20" s="37"/>
      <c r="N20" s="37"/>
      <c r="O20" s="37"/>
      <c r="P20" s="37"/>
      <c r="Q20" s="126"/>
      <c r="R20" s="108"/>
      <c r="S20" s="108"/>
      <c r="T20" s="127"/>
      <c r="U20" s="66"/>
      <c r="W20" s="63"/>
      <c r="X20" s="64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</row>
    <row r="21" spans="23:48" ht="24" customHeight="1"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</row>
    <row r="22" spans="2:48" ht="16.5">
      <c r="B22" s="22" t="s">
        <v>52</v>
      </c>
      <c r="C22" s="65" t="str">
        <f>C1</f>
        <v>CC</v>
      </c>
      <c r="D22" s="65" t="str">
        <f aca="true" t="shared" si="4" ref="D22:J22">D1</f>
        <v>CC</v>
      </c>
      <c r="E22" s="65" t="str">
        <f t="shared" si="4"/>
        <v>CC</v>
      </c>
      <c r="F22" s="65" t="str">
        <f t="shared" si="4"/>
        <v>CC</v>
      </c>
      <c r="G22" s="65" t="str">
        <f t="shared" si="4"/>
        <v>CC</v>
      </c>
      <c r="H22" s="65" t="str">
        <f t="shared" si="4"/>
        <v>CC</v>
      </c>
      <c r="I22" s="65" t="str">
        <f t="shared" si="4"/>
        <v>CC</v>
      </c>
      <c r="J22" s="65" t="str">
        <f t="shared" si="4"/>
        <v>CC</v>
      </c>
      <c r="K22" s="65" t="str">
        <f>IF('Race 8'!$C$1="Championship","CC",IF('Race 8'!$C$1="Point Score","PS",IF('Race 8'!$C$1="Handicap","PSh",IF('Race 8'!$C$1="Abandoned","Abd",""))))</f>
        <v>CC</v>
      </c>
      <c r="L22" s="65" t="str">
        <f>IF('Race 8'!$C$1="Championship","CC",IF('Race 8'!$C$1="Point Score","PS",IF('Race 8'!$C$1="Handicap","PSh",IF('Race 8'!$C$1="Abandoned","Abd",""))))</f>
        <v>CC</v>
      </c>
      <c r="M22" s="65"/>
      <c r="N22" s="65"/>
      <c r="O22" s="65"/>
      <c r="P22" s="65"/>
      <c r="Q22" s="88"/>
      <c r="R22" s="88"/>
      <c r="S22" s="88"/>
      <c r="U22" s="24"/>
      <c r="W22" s="110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</row>
    <row r="23" spans="1:48" ht="33.75" customHeight="1" thickBot="1">
      <c r="A23" s="25" t="s">
        <v>63</v>
      </c>
      <c r="B23" s="26" t="s">
        <v>62</v>
      </c>
      <c r="C23" s="27" t="s">
        <v>30</v>
      </c>
      <c r="D23" s="27" t="s">
        <v>31</v>
      </c>
      <c r="E23" s="27" t="s">
        <v>32</v>
      </c>
      <c r="F23" s="27" t="s">
        <v>39</v>
      </c>
      <c r="G23" s="27" t="s">
        <v>40</v>
      </c>
      <c r="H23" s="27" t="s">
        <v>34</v>
      </c>
      <c r="I23" s="27" t="s">
        <v>41</v>
      </c>
      <c r="J23" s="27" t="s">
        <v>36</v>
      </c>
      <c r="K23" s="27" t="s">
        <v>37</v>
      </c>
      <c r="L23" s="27" t="s">
        <v>38</v>
      </c>
      <c r="M23" s="27"/>
      <c r="N23" s="27"/>
      <c r="O23" s="27"/>
      <c r="P23" s="27"/>
      <c r="Q23" s="27" t="s">
        <v>142</v>
      </c>
      <c r="R23" s="27" t="s">
        <v>53</v>
      </c>
      <c r="S23" s="27" t="s">
        <v>54</v>
      </c>
      <c r="T23" s="25" t="s">
        <v>141</v>
      </c>
      <c r="U23" s="28" t="s">
        <v>95</v>
      </c>
      <c r="W23" s="111"/>
      <c r="X23" s="112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138"/>
      <c r="AU23" s="138"/>
      <c r="AV23" s="138"/>
    </row>
    <row r="24" spans="1:48" ht="13.5" thickBot="1">
      <c r="A24" s="36">
        <f>IF('Data sheet'!E3=0,"",'Data sheet'!E3)</f>
        <v>2222</v>
      </c>
      <c r="B24" s="38" t="str">
        <f>IF('Data sheet'!F3=0,"",'Data sheet'!F3)</f>
        <v>Planet Beer</v>
      </c>
      <c r="C24" s="32">
        <f>'Race 1'!P6</f>
        <v>3</v>
      </c>
      <c r="D24" s="33">
        <f>'Race 2'!P6</f>
        <v>6</v>
      </c>
      <c r="E24" s="33">
        <f>'Race 3'!P6</f>
        <v>1</v>
      </c>
      <c r="F24" s="33">
        <f>'Race 4'!P6</f>
        <v>6</v>
      </c>
      <c r="G24" s="33">
        <f>'Race 5'!P6</f>
        <v>1</v>
      </c>
      <c r="H24" s="33">
        <f>'Race 6'!P6</f>
        <v>9</v>
      </c>
      <c r="I24" s="33">
        <f>'Race 7'!P6</f>
        <v>9</v>
      </c>
      <c r="J24" s="33">
        <f>'Race 8'!P6</f>
        <v>4</v>
      </c>
      <c r="K24" s="33">
        <f>'Race 9'!P6</f>
        <v>6</v>
      </c>
      <c r="L24" s="33">
        <f>'Race 10'!P6</f>
        <v>7</v>
      </c>
      <c r="M24" s="33"/>
      <c r="N24" s="33"/>
      <c r="O24" s="33"/>
      <c r="P24" s="33"/>
      <c r="Q24" s="89">
        <f>SUM(HCap1)</f>
        <v>52</v>
      </c>
      <c r="R24" s="108">
        <f>IF(ISERROR(LARGE(C24:M24,1)),0,LARGE(C24:M24,1))</f>
        <v>9</v>
      </c>
      <c r="S24" s="108">
        <f aca="true" t="shared" si="5" ref="S24:S33">IF(ISERROR(LARGE(C24:L24,2)),0,LARGE(C24:L24,2))</f>
        <v>9</v>
      </c>
      <c r="T24" s="107">
        <f>Q24-R24-S24</f>
        <v>34</v>
      </c>
      <c r="U24" s="34">
        <f>IF(ISERROR(RANK(T24,HCap_Score,1)),"",RANK(T24,HCap_Score,1))</f>
        <v>5</v>
      </c>
      <c r="W24" s="63"/>
      <c r="X24" s="64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</row>
    <row r="25" spans="1:48" ht="13.5" thickBot="1">
      <c r="A25" s="36">
        <f>IF('Data sheet'!E4=0,"",'Data sheet'!E4)</f>
        <v>2228</v>
      </c>
      <c r="B25" s="38" t="str">
        <f>IF('Data sheet'!F4=0,"",'Data sheet'!F4)</f>
        <v>SFC Computers</v>
      </c>
      <c r="C25" s="35">
        <f>'Race 1'!P7</f>
        <v>6</v>
      </c>
      <c r="D25" s="36">
        <f>'Race 2'!P7</f>
        <v>9</v>
      </c>
      <c r="E25" s="36">
        <f>'Race 3'!P7</f>
        <v>6</v>
      </c>
      <c r="F25" s="36">
        <f>'Race 4'!P7</f>
        <v>2</v>
      </c>
      <c r="G25" s="36">
        <f>'Race 5'!P7</f>
        <v>4</v>
      </c>
      <c r="H25" s="36">
        <f>'Race 6'!P7</f>
        <v>2</v>
      </c>
      <c r="I25" s="36">
        <f>'Race 7'!P7</f>
        <v>2</v>
      </c>
      <c r="J25" s="36">
        <f>'Race 8'!P7</f>
        <v>5</v>
      </c>
      <c r="K25" s="36">
        <f>'Race 9'!P7</f>
        <v>8</v>
      </c>
      <c r="L25" s="36">
        <f>'Race 10'!P7</f>
        <v>3</v>
      </c>
      <c r="M25" s="36"/>
      <c r="N25" s="36"/>
      <c r="O25" s="36"/>
      <c r="P25" s="36"/>
      <c r="Q25" s="89">
        <f>SUM(HCap2)</f>
        <v>47</v>
      </c>
      <c r="R25" s="108">
        <f aca="true" t="shared" si="6" ref="R25:R33">IF(ISERROR(LARGE(C25:M25,1)),0,LARGE(C25:M25,1))</f>
        <v>9</v>
      </c>
      <c r="S25" s="108">
        <f t="shared" si="5"/>
        <v>8</v>
      </c>
      <c r="T25" s="107">
        <f aca="true" t="shared" si="7" ref="T25:T33">Q25-R25-S25</f>
        <v>30</v>
      </c>
      <c r="U25" s="34">
        <f>IF(ISERROR(RANK(T25,HCap_Score,1)),"",RANK(T25,HCap_Score,1))</f>
        <v>2</v>
      </c>
      <c r="W25" s="63"/>
      <c r="X25" s="64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</row>
    <row r="26" spans="1:48" ht="13.5" thickBot="1">
      <c r="A26" s="36">
        <f>IF('Data sheet'!E5=0,"",'Data sheet'!E5)</f>
        <v>2229</v>
      </c>
      <c r="B26" s="38" t="str">
        <f>IF('Data sheet'!F5=0,"",'Data sheet'!F5)</f>
        <v>Devocean</v>
      </c>
      <c r="C26" s="35">
        <f>'Race 1'!P8</f>
        <v>1</v>
      </c>
      <c r="D26" s="36">
        <f>'Race 2'!P8</f>
        <v>2</v>
      </c>
      <c r="E26" s="36">
        <f>'Race 3'!P8</f>
        <v>7</v>
      </c>
      <c r="F26" s="36">
        <f>'Race 4'!P8</f>
        <v>4</v>
      </c>
      <c r="G26" s="36">
        <f>'Race 5'!P8</f>
        <v>9</v>
      </c>
      <c r="H26" s="36">
        <f>'Race 6'!P8</f>
        <v>7</v>
      </c>
      <c r="I26" s="36">
        <f>'Race 7'!P8</f>
        <v>1</v>
      </c>
      <c r="J26" s="36">
        <f>'Race 8'!P8</f>
        <v>10</v>
      </c>
      <c r="K26" s="36">
        <f>'Race 9'!P8</f>
        <v>1</v>
      </c>
      <c r="L26" s="36">
        <f>'Race 10'!P8</f>
        <v>9</v>
      </c>
      <c r="M26" s="36"/>
      <c r="N26" s="36"/>
      <c r="O26" s="36"/>
      <c r="P26" s="36"/>
      <c r="Q26" s="90">
        <f>SUM(HCap3)</f>
        <v>51</v>
      </c>
      <c r="R26" s="108">
        <f t="shared" si="6"/>
        <v>10</v>
      </c>
      <c r="S26" s="108">
        <f t="shared" si="5"/>
        <v>9</v>
      </c>
      <c r="T26" s="107">
        <f t="shared" si="7"/>
        <v>32</v>
      </c>
      <c r="U26" s="39">
        <f aca="true" t="shared" si="8" ref="U26:U33">IF(ISERROR(RANK(T26,HCap_Score,1)),"",RANK(T26,HCap_Score,1))</f>
        <v>3</v>
      </c>
      <c r="W26" s="63"/>
      <c r="X26" s="64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</row>
    <row r="27" spans="1:48" ht="13.5" thickBot="1">
      <c r="A27" s="36">
        <f>IF('Data sheet'!E6=0,"",'Data sheet'!E6)</f>
        <v>2230</v>
      </c>
      <c r="B27" s="38" t="str">
        <f>IF('Data sheet'!F6=0,"",'Data sheet'!F6)</f>
        <v>Raptor</v>
      </c>
      <c r="C27" s="35">
        <f>'Race 1'!P9</f>
        <v>7</v>
      </c>
      <c r="D27" s="36">
        <f>'Race 2'!P9</f>
        <v>7</v>
      </c>
      <c r="E27" s="36">
        <f>'Race 3'!P9</f>
        <v>5</v>
      </c>
      <c r="F27" s="36">
        <f>'Race 4'!P9</f>
        <v>3</v>
      </c>
      <c r="G27" s="36">
        <f>'Race 5'!P9</f>
        <v>2</v>
      </c>
      <c r="H27" s="36">
        <f>'Race 6'!P9</f>
        <v>5</v>
      </c>
      <c r="I27" s="36">
        <f>'Race 7'!P9</f>
        <v>4</v>
      </c>
      <c r="J27" s="36">
        <f>'Race 8'!P9</f>
        <v>8</v>
      </c>
      <c r="K27" s="36">
        <f>'Race 9'!P9</f>
        <v>3</v>
      </c>
      <c r="L27" s="36">
        <f>'Race 10'!P9</f>
        <v>5</v>
      </c>
      <c r="M27" s="36"/>
      <c r="N27" s="36"/>
      <c r="O27" s="36"/>
      <c r="P27" s="36"/>
      <c r="Q27" s="90">
        <f>SUM(HCap4)</f>
        <v>49</v>
      </c>
      <c r="R27" s="108">
        <f t="shared" si="6"/>
        <v>8</v>
      </c>
      <c r="S27" s="108">
        <f t="shared" si="5"/>
        <v>7</v>
      </c>
      <c r="T27" s="107">
        <f t="shared" si="7"/>
        <v>34</v>
      </c>
      <c r="U27" s="39">
        <f t="shared" si="8"/>
        <v>5</v>
      </c>
      <c r="W27" s="63"/>
      <c r="X27" s="64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</row>
    <row r="28" spans="1:48" ht="13.5" thickBot="1">
      <c r="A28" s="36">
        <f>IF('Data sheet'!E7=0,"",'Data sheet'!E7)</f>
        <v>2234</v>
      </c>
      <c r="B28" s="38" t="str">
        <f>IF('Data sheet'!F7=0,"",'Data sheet'!F7)</f>
        <v>Meeks Real Estate</v>
      </c>
      <c r="C28" s="35">
        <f>'Race 1'!P10</f>
        <v>10</v>
      </c>
      <c r="D28" s="36">
        <f>'Race 2'!P10</f>
        <v>10</v>
      </c>
      <c r="E28" s="36">
        <f>'Race 3'!P10</f>
        <v>8</v>
      </c>
      <c r="F28" s="36">
        <f>'Race 4'!P10</f>
        <v>9</v>
      </c>
      <c r="G28" s="36">
        <f>'Race 5'!P10</f>
        <v>7</v>
      </c>
      <c r="H28" s="36">
        <f>'Race 6'!P10</f>
        <v>3</v>
      </c>
      <c r="I28" s="36">
        <f>'Race 7'!P10</f>
        <v>6</v>
      </c>
      <c r="J28" s="36">
        <f>'Race 8'!P10</f>
        <v>2</v>
      </c>
      <c r="K28" s="36">
        <f>'Race 9'!P10</f>
        <v>9</v>
      </c>
      <c r="L28" s="36">
        <f>'Race 10'!P10</f>
        <v>6</v>
      </c>
      <c r="M28" s="36"/>
      <c r="N28" s="36"/>
      <c r="O28" s="36"/>
      <c r="P28" s="36"/>
      <c r="Q28" s="90">
        <f>SUM(HCap5)</f>
        <v>70</v>
      </c>
      <c r="R28" s="108">
        <f t="shared" si="6"/>
        <v>10</v>
      </c>
      <c r="S28" s="108">
        <f t="shared" si="5"/>
        <v>10</v>
      </c>
      <c r="T28" s="107">
        <f t="shared" si="7"/>
        <v>50</v>
      </c>
      <c r="U28" s="39">
        <f t="shared" si="8"/>
        <v>10</v>
      </c>
      <c r="W28" s="63"/>
      <c r="X28" s="64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</row>
    <row r="29" spans="1:48" ht="13.5" thickBot="1">
      <c r="A29" s="36">
        <f>IF('Data sheet'!E8=0,"",'Data sheet'!E8)</f>
        <v>2235</v>
      </c>
      <c r="B29" s="38" t="str">
        <f>IF('Data sheet'!F8=0,"",'Data sheet'!F8)</f>
        <v>Black Diamond</v>
      </c>
      <c r="C29" s="35">
        <f>'Race 1'!P11</f>
        <v>4</v>
      </c>
      <c r="D29" s="36">
        <f>'Race 2'!P11</f>
        <v>1</v>
      </c>
      <c r="E29" s="36">
        <f>'Race 3'!P11</f>
        <v>2</v>
      </c>
      <c r="F29" s="36">
        <f>'Race 4'!P11</f>
        <v>7</v>
      </c>
      <c r="G29" s="36">
        <f>'Race 5'!P11</f>
        <v>6</v>
      </c>
      <c r="H29" s="36">
        <f>'Race 6'!P11</f>
        <v>8</v>
      </c>
      <c r="I29" s="36">
        <f>'Race 7'!P11</f>
        <v>3</v>
      </c>
      <c r="J29" s="36">
        <f>'Race 8'!P11</f>
        <v>1</v>
      </c>
      <c r="K29" s="36">
        <f>'Race 9'!P11</f>
        <v>10</v>
      </c>
      <c r="L29" s="36">
        <f>'Race 10'!P11</f>
        <v>8</v>
      </c>
      <c r="M29" s="36"/>
      <c r="N29" s="36"/>
      <c r="O29" s="36"/>
      <c r="P29" s="36"/>
      <c r="Q29" s="90">
        <f>SUM(HCap6)</f>
        <v>50</v>
      </c>
      <c r="R29" s="108">
        <f t="shared" si="6"/>
        <v>10</v>
      </c>
      <c r="S29" s="108">
        <f t="shared" si="5"/>
        <v>8</v>
      </c>
      <c r="T29" s="107">
        <f t="shared" si="7"/>
        <v>32</v>
      </c>
      <c r="U29" s="39">
        <f t="shared" si="8"/>
        <v>3</v>
      </c>
      <c r="W29" s="63"/>
      <c r="X29" s="64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</row>
    <row r="30" spans="1:48" ht="13.5" thickBot="1">
      <c r="A30" s="36">
        <f>IF('Data sheet'!E9=0,"",'Data sheet'!E9)</f>
        <v>2236</v>
      </c>
      <c r="B30" s="38" t="str">
        <f>IF('Data sheet'!F9=0,"",'Data sheet'!F9)</f>
        <v>Troy Botting Shipwright</v>
      </c>
      <c r="C30" s="35">
        <f>'Race 1'!P12</f>
        <v>9</v>
      </c>
      <c r="D30" s="36">
        <f>'Race 2'!P12</f>
        <v>4</v>
      </c>
      <c r="E30" s="36">
        <f>'Race 3'!P12</f>
        <v>9</v>
      </c>
      <c r="F30" s="36">
        <f>'Race 4'!P12</f>
        <v>8</v>
      </c>
      <c r="G30" s="36">
        <f>'Race 5'!P12</f>
        <v>5</v>
      </c>
      <c r="H30" s="36">
        <f>'Race 6'!P12</f>
        <v>4</v>
      </c>
      <c r="I30" s="36">
        <f>'Race 7'!P12</f>
        <v>10</v>
      </c>
      <c r="J30" s="36">
        <f>'Race 8'!P12</f>
        <v>7</v>
      </c>
      <c r="K30" s="36">
        <f>'Race 9'!P12</f>
        <v>4</v>
      </c>
      <c r="L30" s="36">
        <f>'Race 10'!P12</f>
        <v>4</v>
      </c>
      <c r="M30" s="36"/>
      <c r="N30" s="36"/>
      <c r="O30" s="36"/>
      <c r="P30" s="36"/>
      <c r="Q30" s="90">
        <f>SUM(HCap7)</f>
        <v>64</v>
      </c>
      <c r="R30" s="108">
        <f t="shared" si="6"/>
        <v>10</v>
      </c>
      <c r="S30" s="108">
        <f t="shared" si="5"/>
        <v>9</v>
      </c>
      <c r="T30" s="107">
        <f t="shared" si="7"/>
        <v>45</v>
      </c>
      <c r="U30" s="39">
        <f t="shared" si="8"/>
        <v>8</v>
      </c>
      <c r="W30" s="63"/>
      <c r="X30" s="64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</row>
    <row r="31" spans="1:48" ht="13.5" thickBot="1">
      <c r="A31" s="36">
        <f>IF('Data sheet'!E10=0,"",'Data sheet'!E10)</f>
        <v>2237</v>
      </c>
      <c r="B31" s="38" t="str">
        <f>IF('Data sheet'!F10=0,"",'Data sheet'!F10)</f>
        <v>Stowe</v>
      </c>
      <c r="C31" s="35">
        <f>'Race 1'!P13</f>
        <v>5</v>
      </c>
      <c r="D31" s="36">
        <f>'Race 2'!P13</f>
        <v>3</v>
      </c>
      <c r="E31" s="36">
        <f>'Race 3'!P13</f>
        <v>4</v>
      </c>
      <c r="F31" s="36">
        <f>'Race 4'!P13</f>
        <v>5</v>
      </c>
      <c r="G31" s="36">
        <f>'Race 5'!P13</f>
        <v>3</v>
      </c>
      <c r="H31" s="36">
        <f>'Race 6'!P13</f>
        <v>1</v>
      </c>
      <c r="I31" s="36">
        <f>'Race 7'!P13</f>
        <v>8</v>
      </c>
      <c r="J31" s="36">
        <f>'Race 8'!P13</f>
        <v>9</v>
      </c>
      <c r="K31" s="36">
        <f>'Race 9'!P13</f>
        <v>5</v>
      </c>
      <c r="L31" s="36">
        <f>'Race 10'!P13</f>
        <v>1</v>
      </c>
      <c r="M31" s="36"/>
      <c r="N31" s="36"/>
      <c r="O31" s="36"/>
      <c r="P31" s="36"/>
      <c r="Q31" s="90">
        <f>SUM(HCap8)</f>
        <v>44</v>
      </c>
      <c r="R31" s="108">
        <f t="shared" si="6"/>
        <v>9</v>
      </c>
      <c r="S31" s="108">
        <f t="shared" si="5"/>
        <v>8</v>
      </c>
      <c r="T31" s="107">
        <f t="shared" si="7"/>
        <v>27</v>
      </c>
      <c r="U31" s="39">
        <f t="shared" si="8"/>
        <v>1</v>
      </c>
      <c r="W31" s="63"/>
      <c r="X31" s="64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</row>
    <row r="32" spans="1:48" ht="13.5" thickBot="1">
      <c r="A32" s="36">
        <f>IF('Data sheet'!E11=0,"",'Data sheet'!E11)</f>
        <v>2240</v>
      </c>
      <c r="B32" s="38" t="str">
        <f>IF('Data sheet'!F11=0,"",'Data sheet'!F11)</f>
        <v>Narwahl</v>
      </c>
      <c r="C32" s="35">
        <f>'Race 1'!P14</f>
        <v>2</v>
      </c>
      <c r="D32" s="36">
        <f>'Race 2'!P14</f>
        <v>8</v>
      </c>
      <c r="E32" s="36">
        <f>'Race 3'!P14</f>
        <v>3</v>
      </c>
      <c r="F32" s="36">
        <f>'Race 4'!P14</f>
        <v>1</v>
      </c>
      <c r="G32" s="36">
        <f>'Race 5'!P14</f>
        <v>11</v>
      </c>
      <c r="H32" s="36">
        <f>'Race 6'!P14</f>
        <v>11</v>
      </c>
      <c r="I32" s="36">
        <f>'Race 7'!P14</f>
        <v>5</v>
      </c>
      <c r="J32" s="36">
        <f>'Race 8'!P14</f>
        <v>3</v>
      </c>
      <c r="K32" s="36">
        <f>'Race 9'!P14</f>
        <v>2</v>
      </c>
      <c r="L32" s="36">
        <f>'Race 10'!P14</f>
        <v>10</v>
      </c>
      <c r="M32" s="36"/>
      <c r="N32" s="36"/>
      <c r="O32" s="36"/>
      <c r="P32" s="36"/>
      <c r="Q32" s="90">
        <f>SUM(HCap9)</f>
        <v>56</v>
      </c>
      <c r="R32" s="108">
        <f t="shared" si="6"/>
        <v>11</v>
      </c>
      <c r="S32" s="108">
        <f t="shared" si="5"/>
        <v>11</v>
      </c>
      <c r="T32" s="107">
        <f t="shared" si="7"/>
        <v>34</v>
      </c>
      <c r="U32" s="39">
        <f t="shared" si="8"/>
        <v>5</v>
      </c>
      <c r="W32" s="63"/>
      <c r="X32" s="64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</row>
    <row r="33" spans="1:48" ht="13.5" thickBot="1">
      <c r="A33" s="36">
        <f>IF('Data sheet'!E12=0,"",'Data sheet'!E12)</f>
        <v>2242</v>
      </c>
      <c r="B33" s="38" t="str">
        <f>IF('Data sheet'!F12=0,"",'Data sheet'!F12)</f>
        <v>Firestorm</v>
      </c>
      <c r="C33" s="35">
        <f>'Race 1'!P15</f>
        <v>8</v>
      </c>
      <c r="D33" s="36">
        <f>'Race 2'!P15</f>
        <v>5</v>
      </c>
      <c r="E33" s="36">
        <f>'Race 3'!P15</f>
        <v>10</v>
      </c>
      <c r="F33" s="36">
        <f>'Race 4'!P15</f>
        <v>10</v>
      </c>
      <c r="G33" s="36">
        <f>'Race 5'!P15</f>
        <v>7</v>
      </c>
      <c r="H33" s="36">
        <f>'Race 6'!P15</f>
        <v>6</v>
      </c>
      <c r="I33" s="36">
        <f>'Race 7'!P15</f>
        <v>7</v>
      </c>
      <c r="J33" s="36">
        <f>'Race 8'!P15</f>
        <v>6</v>
      </c>
      <c r="K33" s="36">
        <f>'Race 9'!P15</f>
        <v>7</v>
      </c>
      <c r="L33" s="36">
        <f>'Race 10'!P15</f>
        <v>2</v>
      </c>
      <c r="M33" s="36"/>
      <c r="N33" s="36"/>
      <c r="O33" s="36"/>
      <c r="P33" s="36"/>
      <c r="Q33" s="90">
        <f>SUM(HCap10)</f>
        <v>68</v>
      </c>
      <c r="R33" s="108">
        <f t="shared" si="6"/>
        <v>10</v>
      </c>
      <c r="S33" s="108">
        <f t="shared" si="5"/>
        <v>10</v>
      </c>
      <c r="T33" s="107">
        <f t="shared" si="7"/>
        <v>48</v>
      </c>
      <c r="U33" s="39">
        <f t="shared" si="8"/>
        <v>9</v>
      </c>
      <c r="W33" s="63"/>
      <c r="X33" s="64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</row>
    <row r="34" spans="1:48" ht="13.5" thickBot="1">
      <c r="A34" s="36">
        <f>IF('Data sheet'!E13=0,"",'Data sheet'!E13)</f>
      </c>
      <c r="B34" s="38">
        <f>IF('Data sheet'!F13=0,"",'Data sheet'!F13)</f>
      </c>
      <c r="C34" s="35">
        <f>'Race 1'!P16</f>
      </c>
      <c r="D34" s="36">
        <f>'Race 2'!P16</f>
      </c>
      <c r="E34" s="36">
        <f>'Race 3'!P16</f>
      </c>
      <c r="F34" s="36">
        <f>'Race 4'!P16</f>
      </c>
      <c r="G34" s="36">
        <f>'Race 5'!P16</f>
      </c>
      <c r="H34" s="36">
        <f>'Race 6'!P16</f>
      </c>
      <c r="I34" s="36">
        <f>'Race 7'!P16</f>
      </c>
      <c r="J34" s="36">
        <f>'Race 8'!P16</f>
      </c>
      <c r="K34" s="36">
        <f>'Race 9'!P16</f>
      </c>
      <c r="L34" s="36">
        <f>'Race 10'!P16</f>
      </c>
      <c r="M34" s="36"/>
      <c r="N34" s="36"/>
      <c r="O34" s="36"/>
      <c r="P34" s="36"/>
      <c r="Q34" s="90"/>
      <c r="R34" s="108"/>
      <c r="S34" s="108"/>
      <c r="T34" s="107"/>
      <c r="U34" s="39"/>
      <c r="V34" s="23" t="s">
        <v>110</v>
      </c>
      <c r="W34" s="63"/>
      <c r="X34" s="64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</row>
    <row r="35" spans="1:48" ht="13.5" thickBot="1">
      <c r="A35" s="36">
        <f>IF('Data sheet'!E14=0,"",'Data sheet'!E14)</f>
      </c>
      <c r="B35" s="38">
        <f>IF('Data sheet'!F14=0,"",'Data sheet'!F14)</f>
      </c>
      <c r="C35" s="35">
        <f>'Race 1'!P17</f>
      </c>
      <c r="D35" s="36">
        <f>'Race 2'!P17</f>
      </c>
      <c r="E35" s="36">
        <f>'Race 3'!P17</f>
      </c>
      <c r="F35" s="36">
        <f>'Race 4'!P17</f>
      </c>
      <c r="G35" s="36">
        <f>'Race 5'!P17</f>
      </c>
      <c r="H35" s="36">
        <f>'Race 6'!P17</f>
      </c>
      <c r="I35" s="36">
        <f>'Race 7'!P17</f>
      </c>
      <c r="J35" s="36">
        <f>'Race 8'!P17</f>
      </c>
      <c r="K35" s="36">
        <f>'Race 9'!P17</f>
      </c>
      <c r="L35" s="36">
        <f>'Race 10'!P17</f>
      </c>
      <c r="M35" s="36"/>
      <c r="N35" s="36"/>
      <c r="O35" s="36"/>
      <c r="P35" s="36"/>
      <c r="Q35" s="90"/>
      <c r="R35" s="108"/>
      <c r="S35" s="108"/>
      <c r="T35" s="107"/>
      <c r="U35" s="39"/>
      <c r="W35" s="63"/>
      <c r="X35" s="64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</row>
    <row r="36" spans="1:48" ht="13.5" thickBot="1">
      <c r="A36" s="36">
        <f>IF('Data sheet'!E15=0,"",'Data sheet'!E15)</f>
      </c>
      <c r="B36" s="38">
        <f>IF('Data sheet'!F15=0,"",'Data sheet'!F15)</f>
      </c>
      <c r="C36" s="35">
        <f>'Race 1'!P18</f>
      </c>
      <c r="D36" s="36">
        <f>'Race 2'!P18</f>
      </c>
      <c r="E36" s="36">
        <f>'Race 3'!P18</f>
      </c>
      <c r="F36" s="36">
        <f>'Race 4'!P18</f>
      </c>
      <c r="G36" s="36">
        <f>'Race 5'!P18</f>
      </c>
      <c r="H36" s="36">
        <f>'Race 6'!P18</f>
      </c>
      <c r="I36" s="36">
        <f>'Race 7'!P18</f>
      </c>
      <c r="J36" s="36">
        <f>'Race 8'!P18</f>
      </c>
      <c r="K36" s="36">
        <f>'Race 9'!P18</f>
      </c>
      <c r="L36" s="36">
        <f>'Race 10'!P18</f>
      </c>
      <c r="M36" s="36"/>
      <c r="N36" s="36"/>
      <c r="O36" s="36"/>
      <c r="P36" s="36"/>
      <c r="Q36" s="90"/>
      <c r="R36" s="108"/>
      <c r="S36" s="108"/>
      <c r="T36" s="107"/>
      <c r="U36" s="39"/>
      <c r="W36" s="63"/>
      <c r="X36" s="64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</row>
    <row r="37" spans="1:48" ht="13.5" thickBot="1">
      <c r="A37" s="36">
        <f>IF('Data sheet'!E16=0,"",'Data sheet'!E16)</f>
      </c>
      <c r="B37" s="38">
        <f>IF('Data sheet'!F16=0,"",'Data sheet'!F16)</f>
      </c>
      <c r="C37" s="35">
        <f>'Race 1'!P19</f>
      </c>
      <c r="D37" s="36">
        <f>'Race 2'!P19</f>
      </c>
      <c r="E37" s="36">
        <f>'Race 3'!P19</f>
      </c>
      <c r="F37" s="36">
        <f>'Race 4'!P19</f>
      </c>
      <c r="G37" s="36">
        <f>'Race 5'!P19</f>
      </c>
      <c r="H37" s="36">
        <f>'Race 6'!P19</f>
      </c>
      <c r="I37" s="36">
        <f>'Race 7'!P19</f>
      </c>
      <c r="J37" s="36">
        <f>'Race 8'!P19</f>
      </c>
      <c r="K37" s="36">
        <f>'Race 9'!P19</f>
      </c>
      <c r="L37" s="36">
        <f>'Race 10'!P19</f>
      </c>
      <c r="M37" s="36"/>
      <c r="N37" s="36"/>
      <c r="O37" s="36"/>
      <c r="P37" s="36"/>
      <c r="Q37" s="90"/>
      <c r="R37" s="108"/>
      <c r="S37" s="108"/>
      <c r="T37" s="107"/>
      <c r="U37" s="39"/>
      <c r="W37" s="63"/>
      <c r="X37" s="64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</row>
    <row r="38" spans="1:48" ht="13.5" thickBot="1">
      <c r="A38" s="36">
        <f>IF('Data sheet'!E17=0,"",'Data sheet'!E17)</f>
      </c>
      <c r="B38" s="38">
        <f>IF('Data sheet'!F17=0,"",'Data sheet'!F17)</f>
      </c>
      <c r="C38" s="35">
        <f>'Race 1'!P20</f>
      </c>
      <c r="D38" s="36">
        <f>'Race 2'!P20</f>
      </c>
      <c r="E38" s="36">
        <f>'Race 3'!P20</f>
      </c>
      <c r="F38" s="36">
        <f>'Race 4'!P20</f>
      </c>
      <c r="G38" s="36">
        <f>'Race 5'!P20</f>
      </c>
      <c r="H38" s="36">
        <f>'Race 6'!P20</f>
      </c>
      <c r="I38" s="36">
        <f>'Race 7'!P20</f>
      </c>
      <c r="J38" s="36">
        <f>'Race 8'!P20</f>
      </c>
      <c r="K38" s="36">
        <f>'Race 9'!P20</f>
      </c>
      <c r="L38" s="36">
        <f>'Race 10'!P20</f>
      </c>
      <c r="M38" s="36"/>
      <c r="N38" s="36"/>
      <c r="O38" s="36"/>
      <c r="P38" s="36"/>
      <c r="Q38" s="90"/>
      <c r="R38" s="108"/>
      <c r="S38" s="108"/>
      <c r="T38" s="107"/>
      <c r="U38" s="39"/>
      <c r="W38" s="63"/>
      <c r="X38" s="64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</row>
    <row r="39" spans="1:48" ht="13.5" thickBot="1">
      <c r="A39" s="36">
        <f>IF('Data sheet'!E18=0,"",'Data sheet'!E18)</f>
      </c>
      <c r="B39" s="38">
        <f>IF('Data sheet'!F18=0,"",'Data sheet'!F18)</f>
      </c>
      <c r="C39" s="35">
        <f>'Race 1'!P21</f>
      </c>
      <c r="D39" s="36">
        <f>'Race 2'!P21</f>
      </c>
      <c r="E39" s="36">
        <f>'Race 3'!P21</f>
      </c>
      <c r="F39" s="36">
        <f>'Race 4'!P21</f>
      </c>
      <c r="G39" s="36">
        <f>'Race 5'!P21</f>
      </c>
      <c r="H39" s="36">
        <f>'Race 6'!P21</f>
      </c>
      <c r="I39" s="36">
        <f>'Race 7'!P21</f>
      </c>
      <c r="J39" s="36">
        <f>'Race 8'!P21</f>
      </c>
      <c r="K39" s="36">
        <f>'Race 9'!P21</f>
      </c>
      <c r="L39" s="36">
        <f>'Race 10'!P21</f>
      </c>
      <c r="M39" s="36"/>
      <c r="N39" s="36"/>
      <c r="O39" s="36"/>
      <c r="P39" s="36"/>
      <c r="Q39" s="90"/>
      <c r="R39" s="108"/>
      <c r="S39" s="108"/>
      <c r="T39" s="107"/>
      <c r="U39" s="39"/>
      <c r="W39" s="63"/>
      <c r="X39" s="64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</row>
    <row r="40" spans="1:48" ht="13.5" thickBot="1">
      <c r="A40" s="36"/>
      <c r="B40" s="38"/>
      <c r="C40" s="35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37"/>
      <c r="O40" s="37"/>
      <c r="P40" s="37"/>
      <c r="Q40" s="90"/>
      <c r="R40" s="108"/>
      <c r="S40" s="108"/>
      <c r="T40" s="107"/>
      <c r="U40" s="66"/>
      <c r="W40" s="63"/>
      <c r="X40" s="64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</row>
    <row r="41" spans="1:48" ht="13.5" thickBot="1">
      <c r="A41" s="36"/>
      <c r="B41" s="38"/>
      <c r="C41" s="128"/>
      <c r="D41" s="124"/>
      <c r="E41" s="124"/>
      <c r="F41" s="124"/>
      <c r="G41" s="124"/>
      <c r="H41" s="124"/>
      <c r="I41" s="124"/>
      <c r="J41" s="124"/>
      <c r="K41" s="124"/>
      <c r="L41" s="124"/>
      <c r="M41" s="37"/>
      <c r="N41" s="37"/>
      <c r="O41" s="37"/>
      <c r="P41" s="37"/>
      <c r="Q41" s="126"/>
      <c r="R41" s="108"/>
      <c r="S41" s="108"/>
      <c r="T41" s="127"/>
      <c r="U41" s="66"/>
      <c r="W41" s="63"/>
      <c r="X41" s="64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</row>
    <row r="42" spans="23:41" ht="16.5"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ht="16.5">
      <c r="A43" s="114"/>
      <c r="B43" s="115"/>
      <c r="C43" s="88"/>
      <c r="D43" s="88"/>
      <c r="E43" s="88"/>
      <c r="F43" s="88"/>
      <c r="G43" s="88"/>
      <c r="H43" s="88"/>
      <c r="I43" s="88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10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</row>
    <row r="44" spans="1:41" ht="12.75">
      <c r="A44" s="28"/>
      <c r="B44" s="116"/>
      <c r="C44" s="111"/>
      <c r="D44" s="111"/>
      <c r="E44" s="111"/>
      <c r="F44" s="111"/>
      <c r="G44" s="111"/>
      <c r="H44" s="111"/>
      <c r="I44" s="111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28"/>
      <c r="U44" s="28"/>
      <c r="V44" s="64"/>
      <c r="W44" s="111"/>
      <c r="X44" s="112"/>
      <c r="Y44" s="88"/>
      <c r="Z44" s="88"/>
      <c r="AA44" s="88"/>
      <c r="AB44" s="88"/>
      <c r="AC44" s="88"/>
      <c r="AD44" s="88"/>
      <c r="AE44" s="88"/>
      <c r="AF44" s="64"/>
      <c r="AG44" s="64"/>
      <c r="AH44" s="64"/>
      <c r="AI44" s="64"/>
      <c r="AJ44" s="64"/>
      <c r="AK44" s="64"/>
      <c r="AL44" s="64"/>
      <c r="AM44" s="64"/>
      <c r="AN44" s="64"/>
      <c r="AO44" s="64"/>
    </row>
    <row r="45" spans="1:41" ht="12.75">
      <c r="A45" s="117"/>
      <c r="B45" s="117"/>
      <c r="C45" s="118"/>
      <c r="D45" s="118"/>
      <c r="E45" s="118"/>
      <c r="F45" s="118"/>
      <c r="G45" s="118"/>
      <c r="H45" s="118"/>
      <c r="I45" s="118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119"/>
      <c r="U45" s="120"/>
      <c r="V45" s="64"/>
      <c r="W45" s="63"/>
      <c r="X45" s="113"/>
      <c r="Y45" s="109"/>
      <c r="Z45" s="109"/>
      <c r="AA45" s="109"/>
      <c r="AB45" s="109"/>
      <c r="AC45" s="109"/>
      <c r="AD45" s="109"/>
      <c r="AE45" s="109"/>
      <c r="AF45" s="64"/>
      <c r="AG45" s="64"/>
      <c r="AH45" s="64"/>
      <c r="AI45" s="64"/>
      <c r="AJ45" s="64"/>
      <c r="AK45" s="64"/>
      <c r="AL45" s="64"/>
      <c r="AM45" s="64"/>
      <c r="AN45" s="64"/>
      <c r="AO45" s="64"/>
    </row>
    <row r="46" spans="1:41" ht="12.75">
      <c r="A46" s="117"/>
      <c r="B46" s="117"/>
      <c r="C46" s="118"/>
      <c r="D46" s="118"/>
      <c r="E46" s="118"/>
      <c r="F46" s="118"/>
      <c r="G46" s="118"/>
      <c r="H46" s="118"/>
      <c r="I46" s="118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119"/>
      <c r="U46" s="120"/>
      <c r="V46" s="64"/>
      <c r="W46" s="63"/>
      <c r="X46" s="113"/>
      <c r="Y46" s="109"/>
      <c r="Z46" s="109"/>
      <c r="AA46" s="109"/>
      <c r="AB46" s="109"/>
      <c r="AC46" s="109"/>
      <c r="AD46" s="109"/>
      <c r="AE46" s="109"/>
      <c r="AF46" s="64"/>
      <c r="AG46" s="64"/>
      <c r="AH46" s="64"/>
      <c r="AI46" s="64"/>
      <c r="AJ46" s="64"/>
      <c r="AK46" s="64"/>
      <c r="AL46" s="64"/>
      <c r="AM46" s="64"/>
      <c r="AN46" s="64"/>
      <c r="AO46" s="64"/>
    </row>
    <row r="47" spans="1:41" ht="12.75">
      <c r="A47" s="117"/>
      <c r="B47" s="117"/>
      <c r="C47" s="118"/>
      <c r="D47" s="118"/>
      <c r="E47" s="118"/>
      <c r="F47" s="118"/>
      <c r="G47" s="118"/>
      <c r="H47" s="118"/>
      <c r="I47" s="118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19"/>
      <c r="U47" s="120"/>
      <c r="V47" s="64"/>
      <c r="W47" s="63"/>
      <c r="X47" s="113"/>
      <c r="Y47" s="109"/>
      <c r="Z47" s="109"/>
      <c r="AA47" s="109"/>
      <c r="AB47" s="109"/>
      <c r="AC47" s="109"/>
      <c r="AD47" s="109"/>
      <c r="AE47" s="109"/>
      <c r="AF47" s="64"/>
      <c r="AG47" s="64"/>
      <c r="AH47" s="64"/>
      <c r="AI47" s="64"/>
      <c r="AJ47" s="64"/>
      <c r="AK47" s="64"/>
      <c r="AL47" s="64"/>
      <c r="AM47" s="64"/>
      <c r="AN47" s="64"/>
      <c r="AO47" s="64"/>
    </row>
    <row r="48" spans="1:41" ht="12.75">
      <c r="A48" s="117"/>
      <c r="B48" s="117"/>
      <c r="C48" s="118"/>
      <c r="D48" s="118"/>
      <c r="E48" s="118"/>
      <c r="F48" s="118"/>
      <c r="G48" s="118"/>
      <c r="H48" s="118"/>
      <c r="I48" s="118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19"/>
      <c r="U48" s="120"/>
      <c r="V48" s="64"/>
      <c r="W48" s="63"/>
      <c r="X48" s="113"/>
      <c r="Y48" s="109"/>
      <c r="Z48" s="109"/>
      <c r="AA48" s="109"/>
      <c r="AB48" s="109"/>
      <c r="AC48" s="109"/>
      <c r="AD48" s="109"/>
      <c r="AE48" s="109"/>
      <c r="AF48" s="64"/>
      <c r="AG48" s="64"/>
      <c r="AH48" s="64"/>
      <c r="AI48" s="64"/>
      <c r="AJ48" s="64"/>
      <c r="AK48" s="64"/>
      <c r="AL48" s="64"/>
      <c r="AM48" s="64"/>
      <c r="AN48" s="64"/>
      <c r="AO48" s="64"/>
    </row>
    <row r="49" spans="1:41" ht="12.75">
      <c r="A49" s="117"/>
      <c r="B49" s="117"/>
      <c r="C49" s="118"/>
      <c r="D49" s="118"/>
      <c r="E49" s="118"/>
      <c r="F49" s="118"/>
      <c r="G49" s="118"/>
      <c r="H49" s="118"/>
      <c r="I49" s="118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119"/>
      <c r="U49" s="120"/>
      <c r="V49" s="64"/>
      <c r="W49" s="63"/>
      <c r="X49" s="113"/>
      <c r="Y49" s="109"/>
      <c r="Z49" s="109"/>
      <c r="AA49" s="109"/>
      <c r="AB49" s="109"/>
      <c r="AC49" s="109"/>
      <c r="AD49" s="109"/>
      <c r="AE49" s="109"/>
      <c r="AF49" s="64"/>
      <c r="AG49" s="64"/>
      <c r="AH49" s="64"/>
      <c r="AI49" s="64"/>
      <c r="AJ49" s="64"/>
      <c r="AK49" s="64"/>
      <c r="AL49" s="64"/>
      <c r="AM49" s="64"/>
      <c r="AN49" s="64"/>
      <c r="AO49" s="64"/>
    </row>
    <row r="50" spans="1:41" ht="12.75">
      <c r="A50" s="117"/>
      <c r="B50" s="117"/>
      <c r="C50" s="118"/>
      <c r="D50" s="118"/>
      <c r="E50" s="118"/>
      <c r="F50" s="118"/>
      <c r="G50" s="118"/>
      <c r="H50" s="118"/>
      <c r="I50" s="118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19"/>
      <c r="U50" s="120"/>
      <c r="V50" s="64"/>
      <c r="W50" s="63"/>
      <c r="X50" s="113"/>
      <c r="Y50" s="109"/>
      <c r="Z50" s="109"/>
      <c r="AA50" s="109"/>
      <c r="AB50" s="109"/>
      <c r="AC50" s="109"/>
      <c r="AD50" s="109"/>
      <c r="AE50" s="109"/>
      <c r="AF50" s="64"/>
      <c r="AG50" s="64"/>
      <c r="AH50" s="64"/>
      <c r="AI50" s="64"/>
      <c r="AJ50" s="64"/>
      <c r="AK50" s="64"/>
      <c r="AL50" s="64"/>
      <c r="AM50" s="64"/>
      <c r="AN50" s="64"/>
      <c r="AO50" s="64"/>
    </row>
    <row r="51" spans="1:41" ht="12.75">
      <c r="A51" s="117"/>
      <c r="B51" s="117"/>
      <c r="C51" s="118"/>
      <c r="D51" s="118"/>
      <c r="E51" s="118"/>
      <c r="F51" s="118"/>
      <c r="G51" s="118"/>
      <c r="H51" s="118"/>
      <c r="I51" s="118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19"/>
      <c r="U51" s="120"/>
      <c r="V51" s="64"/>
      <c r="W51" s="63"/>
      <c r="X51" s="113"/>
      <c r="Y51" s="109"/>
      <c r="Z51" s="109"/>
      <c r="AA51" s="109"/>
      <c r="AB51" s="109"/>
      <c r="AC51" s="109"/>
      <c r="AD51" s="109"/>
      <c r="AE51" s="109"/>
      <c r="AF51" s="64"/>
      <c r="AG51" s="64"/>
      <c r="AH51" s="64"/>
      <c r="AI51" s="64"/>
      <c r="AJ51" s="64"/>
      <c r="AK51" s="64"/>
      <c r="AL51" s="64"/>
      <c r="AM51" s="64"/>
      <c r="AN51" s="64"/>
      <c r="AO51" s="64"/>
    </row>
    <row r="52" spans="1:41" ht="12.75">
      <c r="A52" s="117"/>
      <c r="B52" s="117"/>
      <c r="C52" s="118"/>
      <c r="D52" s="118"/>
      <c r="E52" s="118"/>
      <c r="F52" s="118"/>
      <c r="G52" s="118"/>
      <c r="H52" s="118"/>
      <c r="I52" s="118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19"/>
      <c r="U52" s="120"/>
      <c r="V52" s="64"/>
      <c r="W52" s="63"/>
      <c r="X52" s="113"/>
      <c r="Y52" s="109"/>
      <c r="Z52" s="109"/>
      <c r="AA52" s="109"/>
      <c r="AB52" s="109"/>
      <c r="AC52" s="109"/>
      <c r="AD52" s="109"/>
      <c r="AE52" s="109"/>
      <c r="AF52" s="64"/>
      <c r="AG52" s="64"/>
      <c r="AH52" s="64"/>
      <c r="AI52" s="64"/>
      <c r="AJ52" s="64"/>
      <c r="AK52" s="64"/>
      <c r="AL52" s="64"/>
      <c r="AM52" s="64"/>
      <c r="AN52" s="64"/>
      <c r="AO52" s="64"/>
    </row>
    <row r="53" spans="1:41" ht="12.75">
      <c r="A53" s="117"/>
      <c r="B53" s="117"/>
      <c r="C53" s="118"/>
      <c r="D53" s="118"/>
      <c r="E53" s="118"/>
      <c r="F53" s="118"/>
      <c r="G53" s="118"/>
      <c r="H53" s="118"/>
      <c r="I53" s="118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19"/>
      <c r="U53" s="120"/>
      <c r="V53" s="64"/>
      <c r="W53" s="63"/>
      <c r="X53" s="113"/>
      <c r="Y53" s="109"/>
      <c r="Z53" s="109"/>
      <c r="AA53" s="109"/>
      <c r="AB53" s="109"/>
      <c r="AC53" s="109"/>
      <c r="AD53" s="109"/>
      <c r="AE53" s="109"/>
      <c r="AF53" s="64"/>
      <c r="AG53" s="64"/>
      <c r="AH53" s="64"/>
      <c r="AI53" s="64"/>
      <c r="AJ53" s="64"/>
      <c r="AK53" s="64"/>
      <c r="AL53" s="64"/>
      <c r="AM53" s="64"/>
      <c r="AN53" s="64"/>
      <c r="AO53" s="64"/>
    </row>
    <row r="54" spans="1:41" ht="12.75">
      <c r="A54" s="117"/>
      <c r="B54" s="117"/>
      <c r="C54" s="118"/>
      <c r="D54" s="118"/>
      <c r="E54" s="118"/>
      <c r="F54" s="118"/>
      <c r="G54" s="118"/>
      <c r="H54" s="118"/>
      <c r="I54" s="118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19"/>
      <c r="U54" s="120"/>
      <c r="V54" s="64"/>
      <c r="W54" s="63"/>
      <c r="X54" s="113"/>
      <c r="Y54" s="109"/>
      <c r="Z54" s="109"/>
      <c r="AA54" s="109"/>
      <c r="AB54" s="109"/>
      <c r="AC54" s="109"/>
      <c r="AD54" s="109"/>
      <c r="AE54" s="109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ht="12.75">
      <c r="A55" s="117"/>
      <c r="B55" s="117"/>
      <c r="C55" s="118"/>
      <c r="D55" s="118"/>
      <c r="E55" s="118"/>
      <c r="F55" s="118"/>
      <c r="G55" s="118"/>
      <c r="H55" s="118"/>
      <c r="I55" s="118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119"/>
      <c r="U55" s="120"/>
      <c r="V55" s="64"/>
      <c r="W55" s="63"/>
      <c r="X55" s="113"/>
      <c r="Y55" s="109"/>
      <c r="Z55" s="109"/>
      <c r="AA55" s="109"/>
      <c r="AB55" s="109"/>
      <c r="AC55" s="109"/>
      <c r="AD55" s="109"/>
      <c r="AE55" s="109"/>
      <c r="AF55" s="64"/>
      <c r="AG55" s="64"/>
      <c r="AH55" s="64"/>
      <c r="AI55" s="64"/>
      <c r="AJ55" s="64"/>
      <c r="AK55" s="64"/>
      <c r="AL55" s="64"/>
      <c r="AM55" s="64"/>
      <c r="AN55" s="64"/>
      <c r="AO55" s="64"/>
    </row>
    <row r="56" spans="1:41" ht="12.75">
      <c r="A56" s="117"/>
      <c r="B56" s="117"/>
      <c r="C56" s="118"/>
      <c r="D56" s="118"/>
      <c r="E56" s="118"/>
      <c r="F56" s="118"/>
      <c r="G56" s="118"/>
      <c r="H56" s="118"/>
      <c r="I56" s="118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119"/>
      <c r="U56" s="120"/>
      <c r="V56" s="64"/>
      <c r="W56" s="63"/>
      <c r="X56" s="113"/>
      <c r="Y56" s="109"/>
      <c r="Z56" s="109"/>
      <c r="AA56" s="109"/>
      <c r="AB56" s="109"/>
      <c r="AC56" s="109"/>
      <c r="AD56" s="109"/>
      <c r="AE56" s="109"/>
      <c r="AF56" s="64"/>
      <c r="AG56" s="64"/>
      <c r="AH56" s="64"/>
      <c r="AI56" s="64"/>
      <c r="AJ56" s="64"/>
      <c r="AK56" s="64"/>
      <c r="AL56" s="64"/>
      <c r="AM56" s="64"/>
      <c r="AN56" s="64"/>
      <c r="AO56" s="64"/>
    </row>
    <row r="57" spans="1:41" ht="12.75">
      <c r="A57" s="117"/>
      <c r="B57" s="117"/>
      <c r="C57" s="118"/>
      <c r="D57" s="118"/>
      <c r="E57" s="118"/>
      <c r="F57" s="118"/>
      <c r="G57" s="118"/>
      <c r="H57" s="118"/>
      <c r="I57" s="118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119"/>
      <c r="U57" s="120"/>
      <c r="V57" s="64"/>
      <c r="W57" s="63"/>
      <c r="X57" s="113"/>
      <c r="Y57" s="109"/>
      <c r="Z57" s="109"/>
      <c r="AA57" s="109"/>
      <c r="AB57" s="109"/>
      <c r="AC57" s="109"/>
      <c r="AD57" s="109"/>
      <c r="AE57" s="109"/>
      <c r="AF57" s="64"/>
      <c r="AG57" s="64"/>
      <c r="AH57" s="64"/>
      <c r="AI57" s="64"/>
      <c r="AJ57" s="64"/>
      <c r="AK57" s="64"/>
      <c r="AL57" s="64"/>
      <c r="AM57" s="64"/>
      <c r="AN57" s="64"/>
      <c r="AO57" s="64"/>
    </row>
    <row r="58" spans="1:41" ht="12.75">
      <c r="A58" s="117"/>
      <c r="B58" s="117"/>
      <c r="C58" s="118"/>
      <c r="D58" s="118"/>
      <c r="E58" s="118"/>
      <c r="F58" s="118"/>
      <c r="G58" s="118"/>
      <c r="H58" s="118"/>
      <c r="I58" s="118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119"/>
      <c r="U58" s="120"/>
      <c r="V58" s="64"/>
      <c r="W58" s="63"/>
      <c r="X58" s="113"/>
      <c r="Y58" s="109"/>
      <c r="Z58" s="109"/>
      <c r="AA58" s="109"/>
      <c r="AB58" s="109"/>
      <c r="AC58" s="109"/>
      <c r="AD58" s="109"/>
      <c r="AE58" s="109"/>
      <c r="AF58" s="64"/>
      <c r="AG58" s="64"/>
      <c r="AH58" s="64"/>
      <c r="AI58" s="64"/>
      <c r="AJ58" s="64"/>
      <c r="AK58" s="64"/>
      <c r="AL58" s="64"/>
      <c r="AM58" s="64"/>
      <c r="AN58" s="64"/>
      <c r="AO58" s="64"/>
    </row>
    <row r="59" spans="1:41" ht="12.75">
      <c r="A59" s="117"/>
      <c r="B59" s="117"/>
      <c r="C59" s="118"/>
      <c r="D59" s="118"/>
      <c r="E59" s="118"/>
      <c r="F59" s="118"/>
      <c r="G59" s="118"/>
      <c r="H59" s="118"/>
      <c r="I59" s="118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19"/>
      <c r="U59" s="120"/>
      <c r="V59" s="64"/>
      <c r="W59" s="63"/>
      <c r="X59" s="113"/>
      <c r="Y59" s="109"/>
      <c r="Z59" s="109"/>
      <c r="AA59" s="109"/>
      <c r="AB59" s="109"/>
      <c r="AC59" s="109"/>
      <c r="AD59" s="109"/>
      <c r="AE59" s="109"/>
      <c r="AF59" s="64"/>
      <c r="AG59" s="64"/>
      <c r="AH59" s="64"/>
      <c r="AI59" s="64"/>
      <c r="AJ59" s="64"/>
      <c r="AK59" s="64"/>
      <c r="AL59" s="64"/>
      <c r="AM59" s="64"/>
      <c r="AN59" s="64"/>
      <c r="AO59" s="64"/>
    </row>
    <row r="60" spans="1:41" ht="12.75">
      <c r="A60" s="117"/>
      <c r="B60" s="117"/>
      <c r="C60" s="118"/>
      <c r="D60" s="118"/>
      <c r="E60" s="118"/>
      <c r="F60" s="118"/>
      <c r="G60" s="118"/>
      <c r="H60" s="118"/>
      <c r="I60" s="118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19"/>
      <c r="U60" s="120"/>
      <c r="V60" s="64"/>
      <c r="W60" s="63"/>
      <c r="X60" s="113"/>
      <c r="Y60" s="109"/>
      <c r="Z60" s="109"/>
      <c r="AA60" s="109"/>
      <c r="AB60" s="109"/>
      <c r="AC60" s="109"/>
      <c r="AD60" s="109"/>
      <c r="AE60" s="109"/>
      <c r="AF60" s="64"/>
      <c r="AG60" s="64"/>
      <c r="AH60" s="64"/>
      <c r="AI60" s="64"/>
      <c r="AJ60" s="64"/>
      <c r="AK60" s="64"/>
      <c r="AL60" s="64"/>
      <c r="AM60" s="64"/>
      <c r="AN60" s="64"/>
      <c r="AO60" s="64"/>
    </row>
    <row r="61" spans="1:41" ht="12.75">
      <c r="A61" s="117"/>
      <c r="B61" s="117"/>
      <c r="C61" s="118"/>
      <c r="D61" s="118"/>
      <c r="E61" s="118"/>
      <c r="F61" s="118"/>
      <c r="G61" s="118"/>
      <c r="H61" s="118"/>
      <c r="I61" s="118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119"/>
      <c r="U61" s="120"/>
      <c r="V61" s="64"/>
      <c r="W61" s="63"/>
      <c r="X61" s="113"/>
      <c r="Y61" s="109"/>
      <c r="Z61" s="109"/>
      <c r="AA61" s="109"/>
      <c r="AB61" s="109"/>
      <c r="AC61" s="109"/>
      <c r="AD61" s="109"/>
      <c r="AE61" s="109"/>
      <c r="AF61" s="64"/>
      <c r="AG61" s="64"/>
      <c r="AH61" s="64"/>
      <c r="AI61" s="64"/>
      <c r="AJ61" s="64"/>
      <c r="AK61" s="64"/>
      <c r="AL61" s="64"/>
      <c r="AM61" s="64"/>
      <c r="AN61" s="64"/>
      <c r="AO61" s="64"/>
    </row>
    <row r="62" spans="1:23" ht="16.5">
      <c r="A62" s="114"/>
      <c r="B62" s="121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</sheetData>
  <sheetProtection/>
  <conditionalFormatting sqref="U3:U20 U45:U61 U24:U41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C45:I61 Q8:Q16 C3:P20 Q18:Q20 Q3:Q6 C24:Q41">
    <cfRule type="cellIs" priority="4" dxfId="3" operator="equal" stopIfTrue="1">
      <formula>1</formula>
    </cfRule>
    <cfRule type="cellIs" priority="5" dxfId="2" operator="equal" stopIfTrue="1">
      <formula>2</formula>
    </cfRule>
    <cfRule type="cellIs" priority="6" dxfId="43" operator="equal" stopIfTrue="1">
      <formula>3</formula>
    </cfRule>
  </conditionalFormatting>
  <conditionalFormatting sqref="C43:I43 C1:S1 C22:S22">
    <cfRule type="cellIs" priority="7" dxfId="3" operator="equal" stopIfTrue="1">
      <formula>"CC"</formula>
    </cfRule>
  </conditionalFormatting>
  <conditionalFormatting sqref="Q7">
    <cfRule type="cellIs" priority="8" dxfId="3" operator="equal" stopIfTrue="1">
      <formula>1</formula>
    </cfRule>
    <cfRule type="cellIs" priority="9" dxfId="2" operator="equal" stopIfTrue="1">
      <formula>2</formula>
    </cfRule>
  </conditionalFormatting>
  <printOptions/>
  <pageMargins left="0.43999999999999995" right="0.2" top="0.51" bottom="0.2" header="0.24000000000000002" footer="0.16"/>
  <pageSetup fitToHeight="1" fitToWidth="1"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Y32"/>
  <sheetViews>
    <sheetView zoomScale="125" zoomScaleNormal="125" zoomScalePageLayoutView="0" workbookViewId="0" topLeftCell="A1">
      <pane ySplit="5" topLeftCell="BM6" activePane="bottomLeft" state="frozen"/>
      <selection pane="topLeft" activeCell="A1" sqref="A1"/>
      <selection pane="bottomLeft" activeCell="J20" sqref="J20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3.42187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6.28125" style="23" hidden="1" customWidth="1"/>
    <col min="18" max="18" width="8.00390625" style="23" hidden="1" customWidth="1"/>
    <col min="19" max="19" width="10.421875" style="23" hidden="1" customWidth="1"/>
    <col min="20" max="20" width="12.281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43108</v>
      </c>
    </row>
    <row r="2" ht="12.75"/>
    <row r="3" spans="2:15" ht="18" customHeight="1">
      <c r="B3" s="40" t="s">
        <v>155</v>
      </c>
      <c r="C3" s="41" t="s">
        <v>60</v>
      </c>
      <c r="D3" s="71">
        <v>1</v>
      </c>
      <c r="E3" s="42"/>
      <c r="F3" s="42"/>
      <c r="G3" s="42"/>
      <c r="H3" s="42"/>
      <c r="I3" s="43" t="s">
        <v>122</v>
      </c>
      <c r="J3" s="163" t="s">
        <v>150</v>
      </c>
      <c r="K3" s="164"/>
      <c r="N3" s="43" t="s">
        <v>123</v>
      </c>
      <c r="O3" s="72" t="s">
        <v>151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40</v>
      </c>
      <c r="G6" s="10" t="s">
        <v>112</v>
      </c>
      <c r="H6" s="12">
        <v>28</v>
      </c>
      <c r="I6" s="50">
        <f aca="true" t="shared" si="0" ref="I6:I20">IF(TIMEVALUE(D6&amp;":"&amp;F6&amp;":"&amp;H6)=0,"",TIMEVALUE(D6&amp;":"&amp;F6&amp;":"&amp;H6)-$I$4)</f>
        <v>0.028101851851851854</v>
      </c>
      <c r="J6" s="51">
        <f aca="true" t="shared" si="1" ref="J6:J30">IF(ISERROR(IF(I6="DNS","DNS",IF(I6="DNF","DNF",IF(I6="DSQ","DSQ",RANK(I6,I$6:I$30,1))))),"",IF(I6="DNS","DNS",IF(I6="DNF","DNF",IF(I6="DSQ","DSQ",RANK(I6,I$6:I$30,1)))))</f>
        <v>4</v>
      </c>
      <c r="K6" s="52">
        <f>IF(ISERROR(VLOOKUP(J6,'Data sheet'!$B$3:$C$32,2,FALSE)),"",IF(I6="DNF",$I$32,(VLOOKUP(J6,'Data sheet'!$B$3:$C$32,2,FALSE))))</f>
        <v>4</v>
      </c>
      <c r="L6" s="29"/>
      <c r="M6" s="93">
        <f>IF('Data sheet'!G3="","",'Data sheet'!G3)</f>
        <v>0.0062499999999999995</v>
      </c>
      <c r="N6" s="53">
        <f>IF(I6="","",IF($C$1="Handicap",I6,IF(I6="DNS","DNS",IF(I6="DNF","DNF",IF(I6="DSQ","DSQ",I6-M6)))))</f>
        <v>0.021851851851851855</v>
      </c>
      <c r="O6" s="51">
        <f aca="true" t="shared" si="2" ref="O6:O30">IF(I6="","",IF(N6="DNS","DNS",IF(N6="DNF","DNF",IF(N6="DSQ","DSQ",RANK(N6,N$6:N$30,1)))))</f>
        <v>3</v>
      </c>
      <c r="P6" s="52">
        <f>IF(O6="","",IF(O6="DNF",$I$32,VLOOKUP(O6,'Data sheet'!$B$3:$C$32,2,FALSE)))</f>
        <v>3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0.007638888888888889</v>
      </c>
      <c r="S6" s="101">
        <f>R6</f>
        <v>0.007638888888888889</v>
      </c>
      <c r="T6" s="103">
        <f>IF(R6="","",S6-S$32)</f>
        <v>0.005555555555555555</v>
      </c>
      <c r="U6" s="104">
        <f aca="true" t="shared" si="3" ref="U6:U30">IF(T6=0,0,IF(O6="DNS",M6,IF(O6="DSQ",M6,T6)))</f>
        <v>0.005555555555555555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40</v>
      </c>
      <c r="G7" s="10" t="s">
        <v>112</v>
      </c>
      <c r="H7" s="12">
        <v>59</v>
      </c>
      <c r="I7" s="50">
        <f t="shared" si="0"/>
        <v>0.028460648148148148</v>
      </c>
      <c r="J7" s="51">
        <f t="shared" si="1"/>
        <v>5</v>
      </c>
      <c r="K7" s="52">
        <f>IF(ISERROR(VLOOKUP(J7,'Data sheet'!$B$3:$C$32,2,FALSE)),"",IF(I7="DNF",$I$32,(VLOOKUP(J7,'Data sheet'!$B$3:$C$32,2,FALSE))))</f>
        <v>5</v>
      </c>
      <c r="L7" s="29"/>
      <c r="M7" s="93">
        <f>IF('Data sheet'!G4="","",'Data sheet'!G4)</f>
        <v>0.003472222222222222</v>
      </c>
      <c r="N7" s="53">
        <f aca="true" t="shared" si="4" ref="N7:N30">IF(I7="","",IF($C$1="Handicap",I7,IF(I7="DNS","DNS",IF(I7="DNF","DNF",IF(I7="DSQ","DSQ",I7-M7)))))</f>
        <v>0.024988425925925928</v>
      </c>
      <c r="O7" s="51">
        <f t="shared" si="2"/>
        <v>6</v>
      </c>
      <c r="P7" s="52">
        <f>IF(O7="","",IF(O7="DNF",$I$32,VLOOKUP(O7,'Data sheet'!$B$3:$C$32,2,FALSE)))</f>
        <v>6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0.005555555555555555</v>
      </c>
      <c r="S7" s="101">
        <f aca="true" t="shared" si="5" ref="S7:S30">R7</f>
        <v>0.005555555555555555</v>
      </c>
      <c r="T7" s="103">
        <f aca="true" t="shared" si="6" ref="T7:T30">IF(R7="","",S7-S$32)</f>
        <v>0.0034722222222222216</v>
      </c>
      <c r="U7" s="104">
        <f t="shared" si="3"/>
        <v>0.0034722222222222216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44</v>
      </c>
      <c r="G8" s="10" t="s">
        <v>112</v>
      </c>
      <c r="H8" s="12">
        <v>56</v>
      </c>
      <c r="I8" s="50">
        <f t="shared" si="0"/>
        <v>0.031203703703703702</v>
      </c>
      <c r="J8" s="51">
        <f t="shared" si="1"/>
        <v>10</v>
      </c>
      <c r="K8" s="52">
        <f>IF(ISERROR(VLOOKUP(J8,'Data sheet'!$B$3:$C$32,2,FALSE)),"",IF(I8="DNF",$I$32,(VLOOKUP(J8,'Data sheet'!$B$3:$C$32,2,FALSE))))</f>
        <v>10</v>
      </c>
      <c r="L8" s="29"/>
      <c r="M8" s="93">
        <f>IF('Data sheet'!G5="","",'Data sheet'!G5)</f>
        <v>0.011111111111111112</v>
      </c>
      <c r="N8" s="53">
        <f t="shared" si="4"/>
        <v>0.020092592592592592</v>
      </c>
      <c r="O8" s="51">
        <f t="shared" si="2"/>
        <v>1</v>
      </c>
      <c r="P8" s="52">
        <f>IF(O8="","",IF(O8="DNF",$I$32,VLOOKUP(O8,'Data sheet'!$B$3:$C$32,2,FALSE)))</f>
        <v>1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0.011111111111111112</v>
      </c>
      <c r="S8" s="101">
        <f t="shared" si="5"/>
        <v>0.011111111111111112</v>
      </c>
      <c r="T8" s="103">
        <f t="shared" si="6"/>
        <v>0.009027777777777779</v>
      </c>
      <c r="U8" s="104">
        <f t="shared" si="3"/>
        <v>0.009027777777777779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43</v>
      </c>
      <c r="G9" s="10" t="s">
        <v>112</v>
      </c>
      <c r="H9" s="12">
        <v>23</v>
      </c>
      <c r="I9" s="50">
        <f t="shared" si="0"/>
        <v>0.030127314814814815</v>
      </c>
      <c r="J9" s="51">
        <f t="shared" si="1"/>
        <v>9</v>
      </c>
      <c r="K9" s="52">
        <f>IF(ISERROR(VLOOKUP(J9,'Data sheet'!$B$3:$C$32,2,FALSE)),"",IF(I9="DNF",$I$32,(VLOOKUP(J9,'Data sheet'!$B$3:$C$32,2,FALSE))))</f>
        <v>9</v>
      </c>
      <c r="L9" s="29"/>
      <c r="M9" s="93">
        <f>IF('Data sheet'!G6="","",'Data sheet'!G6)</f>
        <v>0.004861111111111111</v>
      </c>
      <c r="N9" s="53">
        <f t="shared" si="4"/>
        <v>0.025266203703703704</v>
      </c>
      <c r="O9" s="51">
        <f t="shared" si="2"/>
        <v>7</v>
      </c>
      <c r="P9" s="52">
        <f>IF(O9="","",IF(O9="DNF",$I$32,VLOOKUP(O9,'Data sheet'!$B$3:$C$32,2,FALSE)))</f>
        <v>7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0.006944444444444444</v>
      </c>
      <c r="S9" s="101">
        <f t="shared" si="5"/>
        <v>0.006944444444444444</v>
      </c>
      <c r="T9" s="103">
        <f t="shared" si="6"/>
        <v>0.004861111111111111</v>
      </c>
      <c r="U9" s="104">
        <f t="shared" si="3"/>
        <v>0.004861111111111111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40</v>
      </c>
      <c r="G10" s="10" t="s">
        <v>112</v>
      </c>
      <c r="H10" s="12">
        <v>8</v>
      </c>
      <c r="I10" s="50">
        <f t="shared" si="0"/>
        <v>0.02787037037037037</v>
      </c>
      <c r="J10" s="51">
        <f t="shared" si="1"/>
        <v>3</v>
      </c>
      <c r="K10" s="52">
        <f>IF(ISERROR(VLOOKUP(J10,'Data sheet'!$B$3:$C$32,2,FALSE)),"",IF(I10="DNF",$I$32,(VLOOKUP(J10,'Data sheet'!$B$3:$C$32,2,FALSE))))</f>
        <v>3</v>
      </c>
      <c r="L10" s="29"/>
      <c r="M10" s="93">
        <f>IF('Data sheet'!G7="","",'Data sheet'!G7)</f>
        <v>0.0006944444444444445</v>
      </c>
      <c r="N10" s="53">
        <f t="shared" si="4"/>
        <v>0.027175925925925923</v>
      </c>
      <c r="O10" s="51">
        <f t="shared" si="2"/>
        <v>10</v>
      </c>
      <c r="P10" s="52">
        <f>IF(O10="","",IF(O10="DNF",$I$32,VLOOKUP(O10,'Data sheet'!$B$3:$C$32,2,FALSE)))</f>
        <v>10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0.002777777777777778</v>
      </c>
      <c r="S10" s="101">
        <f t="shared" si="5"/>
        <v>0.002777777777777778</v>
      </c>
      <c r="T10" s="103">
        <f t="shared" si="6"/>
        <v>0.0006944444444444446</v>
      </c>
      <c r="U10" s="104">
        <f t="shared" si="3"/>
        <v>0.0006944444444444446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41</v>
      </c>
      <c r="G11" s="10" t="s">
        <v>112</v>
      </c>
      <c r="H11" s="12">
        <v>1</v>
      </c>
      <c r="I11" s="50">
        <f t="shared" si="0"/>
        <v>0.028483796296296295</v>
      </c>
      <c r="J11" s="51">
        <f t="shared" si="1"/>
        <v>6</v>
      </c>
      <c r="K11" s="52">
        <f>IF(ISERROR(VLOOKUP(J11,'Data sheet'!$B$3:$C$32,2,FALSE)),"",IF(I11="DNF",$I$32,(VLOOKUP(J11,'Data sheet'!$B$3:$C$32,2,FALSE))))</f>
        <v>6</v>
      </c>
      <c r="L11" s="29"/>
      <c r="M11" s="93">
        <f>IF('Data sheet'!G8="","",'Data sheet'!G8)</f>
        <v>0.005555555555555556</v>
      </c>
      <c r="N11" s="53">
        <f t="shared" si="4"/>
        <v>0.02292824074074074</v>
      </c>
      <c r="O11" s="51">
        <f t="shared" si="2"/>
        <v>4</v>
      </c>
      <c r="P11" s="52">
        <f>IF(O11="","",IF(O11="DNF",$I$32,VLOOKUP(O11,'Data sheet'!$B$3:$C$32,2,FALSE)))</f>
        <v>4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0.0076388888888888895</v>
      </c>
      <c r="S11" s="101">
        <f t="shared" si="5"/>
        <v>0.0076388888888888895</v>
      </c>
      <c r="T11" s="103">
        <f t="shared" si="6"/>
        <v>0.005555555555555557</v>
      </c>
      <c r="U11" s="104">
        <f t="shared" si="3"/>
        <v>0.005555555555555557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37</v>
      </c>
      <c r="G12" s="10" t="s">
        <v>112</v>
      </c>
      <c r="H12" s="12">
        <v>39</v>
      </c>
      <c r="I12" s="50">
        <f t="shared" si="0"/>
        <v>0.02614583333333333</v>
      </c>
      <c r="J12" s="51">
        <f t="shared" si="1"/>
        <v>2</v>
      </c>
      <c r="K12" s="52">
        <f>IF(ISERROR(VLOOKUP(J12,'Data sheet'!$B$3:$C$32,2,FALSE)),"",IF(I12="DNF",$I$32,(VLOOKUP(J12,'Data sheet'!$B$3:$C$32,2,FALSE))))</f>
        <v>2</v>
      </c>
      <c r="L12" s="29"/>
      <c r="M12" s="93">
        <f>IF('Data sheet'!G9="","",'Data sheet'!G9)</f>
        <v>0.0006944444444444445</v>
      </c>
      <c r="N12" s="53">
        <f t="shared" si="4"/>
        <v>0.025451388888888885</v>
      </c>
      <c r="O12" s="51">
        <f t="shared" si="2"/>
        <v>9</v>
      </c>
      <c r="P12" s="52">
        <f>IF(O12="","",IF(O12="DNF",$I$32,VLOOKUP(O12,'Data sheet'!$B$3:$C$32,2,FALSE)))</f>
        <v>9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5"/>
        <v>0.002777777777777778</v>
      </c>
      <c r="T12" s="103">
        <f t="shared" si="6"/>
        <v>0.0006944444444444446</v>
      </c>
      <c r="U12" s="104">
        <f t="shared" si="3"/>
        <v>0.0006944444444444446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43</v>
      </c>
      <c r="G13" s="10" t="s">
        <v>112</v>
      </c>
      <c r="H13" s="12">
        <v>12</v>
      </c>
      <c r="I13" s="50">
        <f t="shared" si="0"/>
        <v>0.030000000000000002</v>
      </c>
      <c r="J13" s="51">
        <f t="shared" si="1"/>
        <v>8</v>
      </c>
      <c r="K13" s="52">
        <f>IF(ISERROR(VLOOKUP(J13,'Data sheet'!$B$3:$C$32,2,FALSE)),"",IF(I13="DNF",$I$32,(VLOOKUP(J13,'Data sheet'!$B$3:$C$32,2,FALSE))))</f>
        <v>8</v>
      </c>
      <c r="L13" s="29"/>
      <c r="M13" s="93">
        <f>IF('Data sheet'!G10="","",'Data sheet'!G10)</f>
        <v>0.005555555555555556</v>
      </c>
      <c r="N13" s="53">
        <f t="shared" si="4"/>
        <v>0.024444444444444446</v>
      </c>
      <c r="O13" s="51">
        <f t="shared" si="2"/>
        <v>5</v>
      </c>
      <c r="P13" s="52">
        <f>IF(O13="","",IF(O13="DNF",$I$32,VLOOKUP(O13,'Data sheet'!$B$3:$C$32,2,FALSE)))</f>
        <v>5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0.0076388888888888895</v>
      </c>
      <c r="S13" s="101">
        <f t="shared" si="5"/>
        <v>0.0076388888888888895</v>
      </c>
      <c r="T13" s="103">
        <f t="shared" si="6"/>
        <v>0.005555555555555557</v>
      </c>
      <c r="U13" s="104">
        <f t="shared" si="3"/>
        <v>0.005555555555555557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42</v>
      </c>
      <c r="G14" s="10" t="s">
        <v>112</v>
      </c>
      <c r="H14" s="12">
        <v>54</v>
      </c>
      <c r="I14" s="50">
        <f t="shared" si="0"/>
        <v>0.029791666666666664</v>
      </c>
      <c r="J14" s="51">
        <f t="shared" si="1"/>
        <v>7</v>
      </c>
      <c r="K14" s="52">
        <f>IF(ISERROR(VLOOKUP(J14,'Data sheet'!$B$3:$C$32,2,FALSE)),"",IF(I14="DNF",$I$32,(VLOOKUP(J14,'Data sheet'!$B$3:$C$32,2,FALSE))))</f>
        <v>7</v>
      </c>
      <c r="L14" s="29"/>
      <c r="M14" s="93">
        <f>IF('Data sheet'!G11="","",'Data sheet'!G11)</f>
        <v>0.008333333333333333</v>
      </c>
      <c r="N14" s="53">
        <f t="shared" si="4"/>
        <v>0.02145833333333333</v>
      </c>
      <c r="O14" s="51">
        <f t="shared" si="2"/>
        <v>2</v>
      </c>
      <c r="P14" s="52">
        <f>IF(O14="","",IF(O14="DNF",$I$32,VLOOKUP(O14,'Data sheet'!$B$3:$C$32,2,FALSE)))</f>
        <v>2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0.009027777777777777</v>
      </c>
      <c r="S14" s="101">
        <f t="shared" si="5"/>
        <v>0.009027777777777777</v>
      </c>
      <c r="T14" s="103">
        <f t="shared" si="6"/>
        <v>0.006944444444444444</v>
      </c>
      <c r="U14" s="104">
        <f t="shared" si="3"/>
        <v>0.006944444444444444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36</v>
      </c>
      <c r="G15" s="10" t="s">
        <v>112</v>
      </c>
      <c r="H15" s="12">
        <v>36</v>
      </c>
      <c r="I15" s="50">
        <f t="shared" si="0"/>
        <v>0.025416666666666667</v>
      </c>
      <c r="J15" s="51">
        <f t="shared" si="1"/>
        <v>1</v>
      </c>
      <c r="K15" s="52">
        <f>IF(ISERROR(VLOOKUP(J15,'Data sheet'!$B$3:$C$32,2,FALSE)),"",IF(I15="DNF",$I$32,(VLOOKUP(J15,'Data sheet'!$B$3:$C$32,2,FALSE))))</f>
        <v>1</v>
      </c>
      <c r="L15" s="29"/>
      <c r="M15" s="93">
        <f>IF('Data sheet'!G12="","",'Data sheet'!G12)</f>
        <v>0</v>
      </c>
      <c r="N15" s="53">
        <f t="shared" si="4"/>
        <v>0.025416666666666667</v>
      </c>
      <c r="O15" s="51">
        <f t="shared" si="2"/>
        <v>8</v>
      </c>
      <c r="P15" s="52">
        <f>IF(O15="","",IF(O15="DNF",$I$32,VLOOKUP(O15,'Data sheet'!$B$3:$C$32,2,FALSE)))</f>
        <v>8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5"/>
        <v>0.0020833333333333333</v>
      </c>
      <c r="T15" s="103">
        <f t="shared" si="6"/>
        <v>0</v>
      </c>
      <c r="U15" s="104">
        <f t="shared" si="3"/>
        <v>0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sheet'!G13="","",'Data sheet'!G13)</f>
      </c>
      <c r="N16" s="53">
        <f t="shared" si="4"/>
      </c>
      <c r="O16" s="51">
        <f t="shared" si="2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5"/>
      </c>
      <c r="T16" s="103">
        <f t="shared" si="6"/>
      </c>
      <c r="U16" s="104">
        <f t="shared" si="3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sheet'!G14="","",'Data sheet'!G14)</f>
      </c>
      <c r="N17" s="53">
        <f t="shared" si="4"/>
      </c>
      <c r="O17" s="51">
        <f t="shared" si="2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5"/>
      </c>
      <c r="T17" s="103">
        <f t="shared" si="6"/>
      </c>
      <c r="U17" s="104">
        <f t="shared" si="3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sheet'!G15="","",'Data sheet'!G15)</f>
      </c>
      <c r="N18" s="53">
        <f t="shared" si="4"/>
      </c>
      <c r="O18" s="51">
        <f t="shared" si="2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5"/>
      </c>
      <c r="T18" s="103">
        <f t="shared" si="6"/>
      </c>
      <c r="U18" s="104">
        <f t="shared" si="3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sheet'!G16="","",'Data sheet'!G16)</f>
      </c>
      <c r="N19" s="53">
        <f t="shared" si="4"/>
      </c>
      <c r="O19" s="51">
        <f t="shared" si="2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5"/>
      </c>
      <c r="T19" s="103">
        <f t="shared" si="6"/>
      </c>
      <c r="U19" s="104">
        <f t="shared" si="3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sheet'!G17="","",'Data sheet'!G17)</f>
      </c>
      <c r="N20" s="53">
        <f t="shared" si="4"/>
      </c>
      <c r="O20" s="51">
        <f t="shared" si="2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5"/>
      </c>
      <c r="T20" s="103">
        <f t="shared" si="6"/>
      </c>
      <c r="U20" s="104">
        <f t="shared" si="3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aca="true" t="shared" si="7" ref="I21:I30">IF(TIMEVALUE(D21&amp;":"&amp;F21&amp;":"&amp;H21)=0,"",TIMEVALUE(D21&amp;":"&amp;F21&amp;":"&amp;H21)-$I$4)</f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sheet'!G18="","",'Data sheet'!G18)</f>
      </c>
      <c r="N21" s="53">
        <f t="shared" si="4"/>
      </c>
      <c r="O21" s="51">
        <f t="shared" si="2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5"/>
      </c>
      <c r="T21" s="103">
        <f t="shared" si="6"/>
      </c>
      <c r="U21" s="104">
        <f t="shared" si="3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7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sheet'!G19="","",'Data sheet'!G19)</f>
      </c>
      <c r="N22" s="53">
        <f t="shared" si="4"/>
      </c>
      <c r="O22" s="51">
        <f t="shared" si="2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5"/>
      </c>
      <c r="T22" s="103">
        <f t="shared" si="6"/>
      </c>
      <c r="U22" s="104">
        <f t="shared" si="3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7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sheet'!G20="","",'Data sheet'!G20)</f>
      </c>
      <c r="N23" s="53">
        <f t="shared" si="4"/>
      </c>
      <c r="O23" s="51">
        <f t="shared" si="2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5"/>
      </c>
      <c r="T23" s="103">
        <f t="shared" si="6"/>
      </c>
      <c r="U23" s="104">
        <f t="shared" si="3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7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sheet'!G21="","",'Data sheet'!G21)</f>
      </c>
      <c r="N24" s="53">
        <f t="shared" si="4"/>
      </c>
      <c r="O24" s="51">
        <f t="shared" si="2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5"/>
      </c>
      <c r="T24" s="103">
        <f t="shared" si="6"/>
      </c>
      <c r="U24" s="104">
        <f t="shared" si="3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7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sheet'!G22="","",'Data sheet'!G22)</f>
      </c>
      <c r="N25" s="53">
        <f t="shared" si="4"/>
      </c>
      <c r="O25" s="51">
        <f t="shared" si="2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5"/>
      </c>
      <c r="T25" s="103">
        <f t="shared" si="6"/>
      </c>
      <c r="U25" s="104">
        <f t="shared" si="3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7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sheet'!G23="","",'Data sheet'!G23)</f>
      </c>
      <c r="N26" s="53">
        <f t="shared" si="4"/>
      </c>
      <c r="O26" s="51">
        <f t="shared" si="2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5"/>
      </c>
      <c r="T26" s="103">
        <f t="shared" si="6"/>
      </c>
      <c r="U26" s="104">
        <f t="shared" si="3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7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sheet'!G24="","",'Data sheet'!G24)</f>
      </c>
      <c r="N27" s="53">
        <f t="shared" si="4"/>
      </c>
      <c r="O27" s="51">
        <f t="shared" si="2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5"/>
      </c>
      <c r="T27" s="103">
        <f t="shared" si="6"/>
      </c>
      <c r="U27" s="104">
        <f t="shared" si="3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7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sheet'!G25="","",'Data sheet'!G25)</f>
      </c>
      <c r="N28" s="53">
        <f t="shared" si="4"/>
      </c>
      <c r="O28" s="51">
        <f t="shared" si="2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5"/>
      </c>
      <c r="T28" s="103">
        <f t="shared" si="6"/>
      </c>
      <c r="U28" s="104">
        <f t="shared" si="3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7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sheet'!G26="","",'Data sheet'!G26)</f>
      </c>
      <c r="N29" s="53">
        <f t="shared" si="4"/>
      </c>
      <c r="O29" s="51">
        <f t="shared" si="2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5"/>
      </c>
      <c r="T29" s="103">
        <f t="shared" si="6"/>
      </c>
      <c r="U29" s="104">
        <f t="shared" si="3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7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sheet'!G27="","",'Data sheet'!G27)</f>
      </c>
      <c r="N30" s="53">
        <f t="shared" si="4"/>
      </c>
      <c r="O30" s="51">
        <f t="shared" si="2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5"/>
      </c>
      <c r="T30" s="103">
        <f t="shared" si="6"/>
      </c>
      <c r="U30" s="104">
        <f t="shared" si="3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U6:U30">
    <cfRule type="cellIs" priority="1" dxfId="0" operator="equal" stopIfTrue="1">
      <formula>1</formula>
    </cfRule>
  </conditionalFormatting>
  <conditionalFormatting sqref="J6:J31 O6:O30">
    <cfRule type="cellIs" priority="2" dxfId="3" operator="equal" stopIfTrue="1">
      <formula>1</formula>
    </cfRule>
    <cfRule type="cellIs" priority="3" dxfId="2" operator="equal" stopIfTrue="1">
      <formula>2</formula>
    </cfRule>
    <cfRule type="cellIs" priority="4" dxfId="1" operator="equal" stopIfTrue="1">
      <formula>3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" right="0.2" top="0.33" bottom="0.16" header="0.17" footer="0.17"/>
  <pageSetup horizontalDpi="600" verticalDpi="600" orientation="landscape" paperSize="9"/>
  <headerFooter alignWithMargins="0">
    <oddHeader>&amp;C&amp;F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0"/>
  <dimension ref="B1:Y32"/>
  <sheetViews>
    <sheetView zoomScale="125" zoomScaleNormal="125" zoomScalePageLayoutView="0" workbookViewId="0" topLeftCell="A1">
      <pane ySplit="5" topLeftCell="BM6" activePane="bottomLeft" state="frozen"/>
      <selection pane="topLeft" activeCell="A1" sqref="A1"/>
      <selection pane="bottomLeft" activeCell="M14" sqref="M14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710937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10.00390625" style="23" hidden="1" customWidth="1"/>
    <col min="18" max="18" width="9.421875" style="23" hidden="1" customWidth="1"/>
    <col min="19" max="19" width="29.140625" style="23" hidden="1" customWidth="1"/>
    <col min="20" max="20" width="23.710937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43108</v>
      </c>
    </row>
    <row r="2" ht="12.75"/>
    <row r="3" spans="2:15" ht="18" customHeight="1">
      <c r="B3" s="40" t="s">
        <v>76</v>
      </c>
      <c r="C3" s="41" t="s">
        <v>100</v>
      </c>
      <c r="D3" s="71">
        <v>2</v>
      </c>
      <c r="E3" s="42"/>
      <c r="F3" s="42"/>
      <c r="G3" s="42"/>
      <c r="H3" s="42"/>
      <c r="I3" s="43" t="s">
        <v>122</v>
      </c>
      <c r="J3" s="163" t="s">
        <v>152</v>
      </c>
      <c r="K3" s="164"/>
      <c r="N3" s="43" t="s">
        <v>123</v>
      </c>
      <c r="O3" s="72" t="s">
        <v>151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55</v>
      </c>
      <c r="G6" s="10" t="s">
        <v>112</v>
      </c>
      <c r="H6" s="12">
        <v>28</v>
      </c>
      <c r="I6" s="50">
        <f aca="true" t="shared" si="0" ref="I6:I16">IF(TIMEVALUE(D6&amp;":"&amp;F6&amp;":"&amp;H6)=0,"",TIMEVALUE(D6&amp;":"&amp;F6&amp;":"&amp;H6)-$I$4)</f>
        <v>0.03851851851851852</v>
      </c>
      <c r="J6" s="51">
        <f aca="true" t="shared" si="1" ref="J6:J30">IF(ISERROR(IF(I6="DNS","DNS",IF(I6="DNF","DNF",IF(I6="DSQ","DSQ",RANK(I6,I$6:I$30,1))))),"",IF(I6="DNS","DNS",IF(I6="DNF","DNF",IF(I6="DSQ","DSQ",RANK(I6,I$6:I$30,1)))))</f>
        <v>8</v>
      </c>
      <c r="K6" s="52">
        <f>IF(ISERROR(VLOOKUP(J6,'Data sheet'!$B$3:$C$32,2,FALSE)),"",IF(I6="DNF",$I$32,(VLOOKUP(J6,'Data sheet'!$B$3:$C$32,2,FALSE))))</f>
        <v>8</v>
      </c>
      <c r="L6" s="29"/>
      <c r="M6" s="93">
        <f>IF('Data sheet'!H3="","",'Data sheet'!H3)</f>
        <v>0.005555555555555555</v>
      </c>
      <c r="N6" s="53">
        <f>IF(I6="","",IF($C$1="Handicap",I6,IF(I6="DNS","DNS",IF(I6="DNF","DNF",IF(I6="DSQ","DSQ",I6-M6)))))</f>
        <v>0.032962962962962965</v>
      </c>
      <c r="O6" s="51">
        <f aca="true" t="shared" si="2" ref="O6:O30">IF(I6="","",IF(N6="DNS","DNS",IF(N6="DNF","DNF",IF(N6="DSQ","DSQ",RANK(N6,N$6:N$30,1)))))</f>
        <v>6</v>
      </c>
      <c r="P6" s="52">
        <f>IF(O6="","",IF(O6="DNF",$I$32,VLOOKUP(O6,'Data sheet'!$B$3:$C$32,2,FALSE)))</f>
        <v>6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0.007638888888888888</v>
      </c>
      <c r="S6" s="101">
        <f>R6</f>
        <v>0.007638888888888888</v>
      </c>
      <c r="T6" s="103">
        <f>IF(R6="","",S6-S$32)</f>
        <v>0.005555555555555555</v>
      </c>
      <c r="U6" s="104">
        <f aca="true" t="shared" si="3" ref="U6:U30">IF(T6=0,0,IF(O6="DNS",M6,IF(O6="DSQ",M6,T6)))</f>
        <v>0.005555555555555555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53</v>
      </c>
      <c r="G7" s="10" t="s">
        <v>112</v>
      </c>
      <c r="H7" s="12">
        <v>23</v>
      </c>
      <c r="I7" s="50">
        <f t="shared" si="0"/>
        <v>0.037071759259259256</v>
      </c>
      <c r="J7" s="51">
        <f t="shared" si="1"/>
        <v>5</v>
      </c>
      <c r="K7" s="52">
        <f>IF(ISERROR(VLOOKUP(J7,'Data sheet'!$B$3:$C$32,2,FALSE)),"",IF(I7="DNF",$I$32,(VLOOKUP(J7,'Data sheet'!$B$3:$C$32,2,FALSE))))</f>
        <v>5</v>
      </c>
      <c r="L7" s="29"/>
      <c r="M7" s="93">
        <f>IF('Data sheet'!H4="","",'Data sheet'!H4)</f>
        <v>0.0034722222222222216</v>
      </c>
      <c r="N7" s="53">
        <f aca="true" t="shared" si="4" ref="N7:N30">IF(I7="","",IF($C$1="Handicap",I7,IF(I7="DNS","DNS",IF(I7="DNF","DNF",IF(I7="DSQ","DSQ",I7-M7)))))</f>
        <v>0.03359953703703703</v>
      </c>
      <c r="O7" s="51">
        <f t="shared" si="2"/>
        <v>9</v>
      </c>
      <c r="P7" s="52">
        <f>IF(O7="","",IF(O7="DNF",$I$32,VLOOKUP(O7,'Data sheet'!$B$3:$C$32,2,FALSE)))</f>
        <v>9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0.005555555555555555</v>
      </c>
      <c r="S7" s="101">
        <f aca="true" t="shared" si="5" ref="S7:S30">R7</f>
        <v>0.005555555555555555</v>
      </c>
      <c r="T7" s="103">
        <f aca="true" t="shared" si="6" ref="T7:T30">IF(R7="","",S7-S$32)</f>
        <v>0.0034722222222222216</v>
      </c>
      <c r="U7" s="104">
        <f t="shared" si="3"/>
        <v>0.0034722222222222216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57</v>
      </c>
      <c r="G8" s="10" t="s">
        <v>112</v>
      </c>
      <c r="H8" s="12">
        <v>13</v>
      </c>
      <c r="I8" s="50">
        <f t="shared" si="0"/>
        <v>0.0397337962962963</v>
      </c>
      <c r="J8" s="51">
        <f t="shared" si="1"/>
        <v>9</v>
      </c>
      <c r="K8" s="52">
        <f>IF(ISERROR(VLOOKUP(J8,'Data sheet'!$B$3:$C$32,2,FALSE)),"",IF(I8="DNF",$I$32,(VLOOKUP(J8,'Data sheet'!$B$3:$C$32,2,FALSE))))</f>
        <v>9</v>
      </c>
      <c r="L8" s="29"/>
      <c r="M8" s="93">
        <f>IF('Data sheet'!H5="","",'Data sheet'!H5)</f>
        <v>0.009027777777777779</v>
      </c>
      <c r="N8" s="53">
        <f t="shared" si="4"/>
        <v>0.03070601851851852</v>
      </c>
      <c r="O8" s="51">
        <f t="shared" si="2"/>
        <v>2</v>
      </c>
      <c r="P8" s="52">
        <f>IF(O8="","",IF(O8="DNF",$I$32,VLOOKUP(O8,'Data sheet'!$B$3:$C$32,2,FALSE)))</f>
        <v>2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0.009722222222222222</v>
      </c>
      <c r="S8" s="101">
        <f t="shared" si="5"/>
        <v>0.009722222222222222</v>
      </c>
      <c r="T8" s="103">
        <f t="shared" si="6"/>
        <v>0.0076388888888888895</v>
      </c>
      <c r="U8" s="104">
        <f t="shared" si="3"/>
        <v>0.0076388888888888895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54</v>
      </c>
      <c r="G9" s="10" t="s">
        <v>112</v>
      </c>
      <c r="H9" s="12">
        <v>33</v>
      </c>
      <c r="I9" s="50">
        <f t="shared" si="0"/>
        <v>0.03788194444444444</v>
      </c>
      <c r="J9" s="51">
        <f t="shared" si="1"/>
        <v>7</v>
      </c>
      <c r="K9" s="52">
        <f>IF(ISERROR(VLOOKUP(J9,'Data sheet'!$B$3:$C$32,2,FALSE)),"",IF(I9="DNF",$I$32,(VLOOKUP(J9,'Data sheet'!$B$3:$C$32,2,FALSE))))</f>
        <v>7</v>
      </c>
      <c r="L9" s="29"/>
      <c r="M9" s="93">
        <f>IF('Data sheet'!H6="","",'Data sheet'!H6)</f>
        <v>0.004861111111111111</v>
      </c>
      <c r="N9" s="53">
        <f t="shared" si="4"/>
        <v>0.03302083333333333</v>
      </c>
      <c r="O9" s="51">
        <f t="shared" si="2"/>
        <v>7</v>
      </c>
      <c r="P9" s="52">
        <f>IF(O9="","",IF(O9="DNF",$I$32,VLOOKUP(O9,'Data sheet'!$B$3:$C$32,2,FALSE)))</f>
        <v>7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0.006944444444444444</v>
      </c>
      <c r="S9" s="101">
        <f t="shared" si="5"/>
        <v>0.006944444444444444</v>
      </c>
      <c r="T9" s="103">
        <f t="shared" si="6"/>
        <v>0.004861111111111111</v>
      </c>
      <c r="U9" s="104">
        <f t="shared" si="3"/>
        <v>0.004861111111111111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51</v>
      </c>
      <c r="G10" s="10" t="s">
        <v>112</v>
      </c>
      <c r="H10" s="12">
        <v>7</v>
      </c>
      <c r="I10" s="50">
        <f t="shared" si="0"/>
        <v>0.03549768518518519</v>
      </c>
      <c r="J10" s="51">
        <f t="shared" si="1"/>
        <v>4</v>
      </c>
      <c r="K10" s="52">
        <f>IF(ISERROR(VLOOKUP(J10,'Data sheet'!$B$3:$C$32,2,FALSE)),"",IF(I10="DNF",$I$32,(VLOOKUP(J10,'Data sheet'!$B$3:$C$32,2,FALSE))))</f>
        <v>4</v>
      </c>
      <c r="L10" s="29"/>
      <c r="M10" s="93">
        <f>IF('Data sheet'!H7="","",'Data sheet'!H7)</f>
        <v>0.0006944444444444446</v>
      </c>
      <c r="N10" s="53">
        <f t="shared" si="4"/>
        <v>0.034803240740740746</v>
      </c>
      <c r="O10" s="51">
        <f t="shared" si="2"/>
        <v>10</v>
      </c>
      <c r="P10" s="52">
        <f>IF(O10="","",IF(O10="DNF",$I$32,VLOOKUP(O10,'Data sheet'!$B$3:$C$32,2,FALSE)))</f>
        <v>10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0.002777777777777778</v>
      </c>
      <c r="S10" s="101">
        <f t="shared" si="5"/>
        <v>0.002777777777777778</v>
      </c>
      <c r="T10" s="103">
        <f t="shared" si="6"/>
        <v>0.0006944444444444446</v>
      </c>
      <c r="U10" s="104">
        <f t="shared" si="3"/>
        <v>0.0006944444444444446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50</v>
      </c>
      <c r="G11" s="10" t="s">
        <v>112</v>
      </c>
      <c r="H11" s="12">
        <v>59</v>
      </c>
      <c r="I11" s="50">
        <f t="shared" si="0"/>
        <v>0.03540509259259259</v>
      </c>
      <c r="J11" s="51">
        <f t="shared" si="1"/>
        <v>3</v>
      </c>
      <c r="K11" s="52">
        <f>IF(ISERROR(VLOOKUP(J11,'Data sheet'!$B$3:$C$32,2,FALSE)),"",IF(I11="DNF",$I$32,(VLOOKUP(J11,'Data sheet'!$B$3:$C$32,2,FALSE))))</f>
        <v>3</v>
      </c>
      <c r="L11" s="29"/>
      <c r="M11" s="93">
        <f>IF('Data sheet'!H8="","",'Data sheet'!H8)</f>
        <v>0.005555555555555557</v>
      </c>
      <c r="N11" s="53">
        <f t="shared" si="4"/>
        <v>0.029849537037037036</v>
      </c>
      <c r="O11" s="51">
        <f t="shared" si="2"/>
        <v>1</v>
      </c>
      <c r="P11" s="52">
        <f>IF(O11="","",IF(O11="DNF",$I$32,VLOOKUP(O11,'Data sheet'!$B$3:$C$32,2,FALSE)))</f>
        <v>1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0.005555555555555557</v>
      </c>
      <c r="S11" s="101">
        <f t="shared" si="5"/>
        <v>0.005555555555555557</v>
      </c>
      <c r="T11" s="103">
        <f t="shared" si="6"/>
        <v>0.0034722222222222233</v>
      </c>
      <c r="U11" s="104">
        <f t="shared" si="3"/>
        <v>0.0034722222222222233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47</v>
      </c>
      <c r="G12" s="10" t="s">
        <v>112</v>
      </c>
      <c r="H12" s="12">
        <v>17</v>
      </c>
      <c r="I12" s="50">
        <f t="shared" si="0"/>
        <v>0.03283564814814815</v>
      </c>
      <c r="J12" s="51">
        <f t="shared" si="1"/>
        <v>2</v>
      </c>
      <c r="K12" s="52">
        <f>IF(ISERROR(VLOOKUP(J12,'Data sheet'!$B$3:$C$32,2,FALSE)),"",IF(I12="DNF",$I$32,(VLOOKUP(J12,'Data sheet'!$B$3:$C$32,2,FALSE))))</f>
        <v>2</v>
      </c>
      <c r="L12" s="29"/>
      <c r="M12" s="93">
        <f>IF('Data sheet'!H9="","",'Data sheet'!H9)</f>
        <v>0.0006944444444444446</v>
      </c>
      <c r="N12" s="53">
        <f t="shared" si="4"/>
        <v>0.03214120370370371</v>
      </c>
      <c r="O12" s="51">
        <f t="shared" si="2"/>
        <v>4</v>
      </c>
      <c r="P12" s="52">
        <f>IF(O12="","",IF(O12="DNF",$I$32,VLOOKUP(O12,'Data sheet'!$B$3:$C$32,2,FALSE)))</f>
        <v>4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5"/>
        <v>0.002777777777777778</v>
      </c>
      <c r="T12" s="103">
        <f t="shared" si="6"/>
        <v>0.0006944444444444446</v>
      </c>
      <c r="U12" s="104">
        <f t="shared" si="3"/>
        <v>0.0006944444444444446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53</v>
      </c>
      <c r="G13" s="10" t="s">
        <v>112</v>
      </c>
      <c r="H13" s="12">
        <v>46</v>
      </c>
      <c r="I13" s="50">
        <f t="shared" si="0"/>
        <v>0.03733796296296296</v>
      </c>
      <c r="J13" s="51">
        <f t="shared" si="1"/>
        <v>6</v>
      </c>
      <c r="K13" s="52">
        <f>IF(ISERROR(VLOOKUP(J13,'Data sheet'!$B$3:$C$32,2,FALSE)),"",IF(I13="DNF",$I$32,(VLOOKUP(J13,'Data sheet'!$B$3:$C$32,2,FALSE))))</f>
        <v>6</v>
      </c>
      <c r="L13" s="29"/>
      <c r="M13" s="93">
        <f>IF('Data sheet'!H10="","",'Data sheet'!H10)</f>
        <v>0.005555555555555557</v>
      </c>
      <c r="N13" s="53">
        <f t="shared" si="4"/>
        <v>0.031782407407407405</v>
      </c>
      <c r="O13" s="51">
        <f t="shared" si="2"/>
        <v>3</v>
      </c>
      <c r="P13" s="52">
        <f>IF(O13="","",IF(O13="DNF",$I$32,VLOOKUP(O13,'Data sheet'!$B$3:$C$32,2,FALSE)))</f>
        <v>3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0.006944444444444446</v>
      </c>
      <c r="S13" s="101">
        <f t="shared" si="5"/>
        <v>0.006944444444444446</v>
      </c>
      <c r="T13" s="103">
        <f t="shared" si="6"/>
        <v>0.004861111111111113</v>
      </c>
      <c r="U13" s="104">
        <f t="shared" si="3"/>
        <v>0.004861111111111113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57</v>
      </c>
      <c r="G14" s="10" t="s">
        <v>112</v>
      </c>
      <c r="H14" s="12">
        <v>52</v>
      </c>
      <c r="I14" s="50">
        <f t="shared" si="0"/>
        <v>0.040185185185185185</v>
      </c>
      <c r="J14" s="51">
        <f t="shared" si="1"/>
        <v>10</v>
      </c>
      <c r="K14" s="52">
        <f>IF(ISERROR(VLOOKUP(J14,'Data sheet'!$B$3:$C$32,2,FALSE)),"",IF(I14="DNF",$I$32,(VLOOKUP(J14,'Data sheet'!$B$3:$C$32,2,FALSE))))</f>
        <v>10</v>
      </c>
      <c r="L14" s="29"/>
      <c r="M14" s="93">
        <f>IF('Data sheet'!H11="","",'Data sheet'!H11)</f>
        <v>0.006944444444444444</v>
      </c>
      <c r="N14" s="53">
        <f t="shared" si="4"/>
        <v>0.03324074074074074</v>
      </c>
      <c r="O14" s="51">
        <f t="shared" si="2"/>
        <v>8</v>
      </c>
      <c r="P14" s="52">
        <f>IF(O14="","",IF(O14="DNF",$I$32,VLOOKUP(O14,'Data sheet'!$B$3:$C$32,2,FALSE)))</f>
        <v>8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0.009027777777777777</v>
      </c>
      <c r="S14" s="101">
        <f t="shared" si="5"/>
        <v>0.009027777777777777</v>
      </c>
      <c r="T14" s="103">
        <f t="shared" si="6"/>
        <v>0.006944444444444444</v>
      </c>
      <c r="U14" s="104">
        <f t="shared" si="3"/>
        <v>0.006944444444444444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46</v>
      </c>
      <c r="G15" s="10" t="s">
        <v>112</v>
      </c>
      <c r="H15" s="12">
        <v>41</v>
      </c>
      <c r="I15" s="50">
        <f t="shared" si="0"/>
        <v>0.03241898148148148</v>
      </c>
      <c r="J15" s="51">
        <f t="shared" si="1"/>
        <v>1</v>
      </c>
      <c r="K15" s="52">
        <f>IF(ISERROR(VLOOKUP(J15,'Data sheet'!$B$3:$C$32,2,FALSE)),"",IF(I15="DNF",$I$32,(VLOOKUP(J15,'Data sheet'!$B$3:$C$32,2,FALSE))))</f>
        <v>1</v>
      </c>
      <c r="L15" s="29"/>
      <c r="M15" s="93">
        <f>IF('Data sheet'!H12="","",'Data sheet'!H12)</f>
        <v>0</v>
      </c>
      <c r="N15" s="53">
        <f t="shared" si="4"/>
        <v>0.03241898148148148</v>
      </c>
      <c r="O15" s="51">
        <f t="shared" si="2"/>
        <v>5</v>
      </c>
      <c r="P15" s="52">
        <f>IF(O15="","",IF(O15="DNF",$I$32,VLOOKUP(O15,'Data sheet'!$B$3:$C$32,2,FALSE)))</f>
        <v>5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5"/>
        <v>0.0020833333333333333</v>
      </c>
      <c r="T15" s="103">
        <f t="shared" si="6"/>
        <v>0</v>
      </c>
      <c r="U15" s="104">
        <f t="shared" si="3"/>
        <v>0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sheet'!H13="","",'Data sheet'!H13)</f>
      </c>
      <c r="N16" s="53">
        <f t="shared" si="4"/>
      </c>
      <c r="O16" s="51">
        <f t="shared" si="2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5"/>
      </c>
      <c r="T16" s="103">
        <f t="shared" si="6"/>
      </c>
      <c r="U16" s="104">
        <f t="shared" si="3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aca="true" t="shared" si="7" ref="I17:I30">IF(TIMEVALUE(D17&amp;":"&amp;F17&amp;":"&amp;H17)=0,"",TIMEVALUE(D17&amp;":"&amp;F17&amp;":"&amp;H17)-$I$4)</f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sheet'!H14="","",'Data sheet'!H14)</f>
      </c>
      <c r="N17" s="53">
        <f t="shared" si="4"/>
      </c>
      <c r="O17" s="51">
        <f t="shared" si="2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5"/>
      </c>
      <c r="T17" s="103">
        <f t="shared" si="6"/>
      </c>
      <c r="U17" s="104">
        <f t="shared" si="3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7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sheet'!H15="","",'Data sheet'!H15)</f>
      </c>
      <c r="N18" s="53">
        <f t="shared" si="4"/>
      </c>
      <c r="O18" s="51">
        <f t="shared" si="2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5"/>
      </c>
      <c r="T18" s="103">
        <f t="shared" si="6"/>
      </c>
      <c r="U18" s="104">
        <f t="shared" si="3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7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sheet'!H16="","",'Data sheet'!H16)</f>
      </c>
      <c r="N19" s="53">
        <f t="shared" si="4"/>
      </c>
      <c r="O19" s="51">
        <f t="shared" si="2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5"/>
      </c>
      <c r="T19" s="103">
        <f t="shared" si="6"/>
      </c>
      <c r="U19" s="104">
        <f t="shared" si="3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7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sheet'!H17="","",'Data sheet'!H17)</f>
      </c>
      <c r="N20" s="53">
        <f t="shared" si="4"/>
      </c>
      <c r="O20" s="51">
        <f t="shared" si="2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5"/>
      </c>
      <c r="T20" s="103">
        <f t="shared" si="6"/>
      </c>
      <c r="U20" s="104">
        <f t="shared" si="3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7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sheet'!H18="","",'Data sheet'!H18)</f>
      </c>
      <c r="N21" s="53">
        <f t="shared" si="4"/>
      </c>
      <c r="O21" s="51">
        <f t="shared" si="2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5"/>
      </c>
      <c r="T21" s="103">
        <f t="shared" si="6"/>
      </c>
      <c r="U21" s="104">
        <f t="shared" si="3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7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sheet'!H19="","",'Data sheet'!H19)</f>
      </c>
      <c r="N22" s="53">
        <f t="shared" si="4"/>
      </c>
      <c r="O22" s="51">
        <f t="shared" si="2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5"/>
      </c>
      <c r="T22" s="103">
        <f t="shared" si="6"/>
      </c>
      <c r="U22" s="104">
        <f t="shared" si="3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7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sheet'!H20="","",'Data sheet'!H20)</f>
      </c>
      <c r="N23" s="53">
        <f t="shared" si="4"/>
      </c>
      <c r="O23" s="51">
        <f t="shared" si="2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5"/>
      </c>
      <c r="T23" s="103">
        <f t="shared" si="6"/>
      </c>
      <c r="U23" s="104">
        <f t="shared" si="3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7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sheet'!H21="","",'Data sheet'!H21)</f>
      </c>
      <c r="N24" s="53">
        <f t="shared" si="4"/>
      </c>
      <c r="O24" s="51">
        <f t="shared" si="2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5"/>
      </c>
      <c r="T24" s="103">
        <f t="shared" si="6"/>
      </c>
      <c r="U24" s="104">
        <f t="shared" si="3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7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sheet'!H22="","",'Data sheet'!H22)</f>
      </c>
      <c r="N25" s="53">
        <f t="shared" si="4"/>
      </c>
      <c r="O25" s="51">
        <f t="shared" si="2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5"/>
      </c>
      <c r="T25" s="103">
        <f t="shared" si="6"/>
      </c>
      <c r="U25" s="104">
        <f t="shared" si="3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7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sheet'!H23="","",'Data sheet'!H23)</f>
      </c>
      <c r="N26" s="53">
        <f t="shared" si="4"/>
      </c>
      <c r="O26" s="51">
        <f t="shared" si="2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5"/>
      </c>
      <c r="T26" s="103">
        <f t="shared" si="6"/>
      </c>
      <c r="U26" s="104">
        <f t="shared" si="3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7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sheet'!H24="","",'Data sheet'!H24)</f>
      </c>
      <c r="N27" s="53">
        <f t="shared" si="4"/>
      </c>
      <c r="O27" s="51">
        <f t="shared" si="2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5"/>
      </c>
      <c r="T27" s="103">
        <f t="shared" si="6"/>
      </c>
      <c r="U27" s="104">
        <f t="shared" si="3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7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sheet'!H25="","",'Data sheet'!H25)</f>
      </c>
      <c r="N28" s="53">
        <f t="shared" si="4"/>
      </c>
      <c r="O28" s="51">
        <f t="shared" si="2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5"/>
      </c>
      <c r="T28" s="103">
        <f t="shared" si="6"/>
      </c>
      <c r="U28" s="104">
        <f t="shared" si="3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7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sheet'!H26="","",'Data sheet'!H26)</f>
      </c>
      <c r="N29" s="53">
        <f t="shared" si="4"/>
      </c>
      <c r="O29" s="51">
        <f t="shared" si="2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5"/>
      </c>
      <c r="T29" s="103">
        <f t="shared" si="6"/>
      </c>
      <c r="U29" s="104">
        <f t="shared" si="3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7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sheet'!H27="","",'Data sheet'!H27)</f>
      </c>
      <c r="N30" s="53">
        <f t="shared" si="4"/>
      </c>
      <c r="O30" s="51">
        <f t="shared" si="2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5"/>
      </c>
      <c r="T30" s="103">
        <f t="shared" si="6"/>
      </c>
      <c r="U30" s="104">
        <f t="shared" si="3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58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" right="0.2" top="0.33" bottom="0.2" header="0.17" footer="0.16"/>
  <pageSetup horizontalDpi="600" verticalDpi="600" orientation="landscape" paperSize="9"/>
  <headerFooter alignWithMargins="0">
    <oddHeader>&amp;C&amp;F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B1:Y32"/>
  <sheetViews>
    <sheetView zoomScale="125" zoomScaleNormal="125" zoomScalePageLayoutView="0" workbookViewId="0" topLeftCell="A1">
      <pane ySplit="5" topLeftCell="BM6" activePane="bottomLeft" state="frozen"/>
      <selection pane="topLeft" activeCell="I4" sqref="I4"/>
      <selection pane="bottomLeft" activeCell="H9" sqref="H9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7109375" style="23" bestFit="1" customWidth="1"/>
    <col min="5" max="5" width="1.421875" style="23" bestFit="1" customWidth="1"/>
    <col min="6" max="6" width="4.140625" style="23" bestFit="1" customWidth="1"/>
    <col min="7" max="7" width="2.28125" style="23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9.421875" style="23" hidden="1" customWidth="1"/>
    <col min="18" max="18" width="20.140625" style="23" hidden="1" customWidth="1"/>
    <col min="19" max="19" width="20.7109375" style="23" hidden="1" customWidth="1"/>
    <col min="20" max="20" width="16.42187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43109</v>
      </c>
    </row>
    <row r="2" ht="12.75"/>
    <row r="3" spans="2:15" ht="18" customHeight="1">
      <c r="B3" s="40" t="s">
        <v>77</v>
      </c>
      <c r="C3" s="41" t="s">
        <v>100</v>
      </c>
      <c r="D3" s="71">
        <v>1</v>
      </c>
      <c r="E3" s="42"/>
      <c r="F3" s="42"/>
      <c r="G3" s="42"/>
      <c r="H3" s="42"/>
      <c r="I3" s="43" t="s">
        <v>122</v>
      </c>
      <c r="J3" s="163" t="s">
        <v>91</v>
      </c>
      <c r="K3" s="164"/>
      <c r="N3" s="43" t="s">
        <v>123</v>
      </c>
      <c r="O3" s="72" t="s">
        <v>151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40</v>
      </c>
      <c r="G6" s="10" t="s">
        <v>112</v>
      </c>
      <c r="H6" s="12">
        <v>55</v>
      </c>
      <c r="I6" s="50">
        <f aca="true" t="shared" si="0" ref="I6:I30">IF(TIMEVALUE(D6&amp;":"&amp;F6&amp;":"&amp;H6)=0,"",TIMEVALUE(D6&amp;":"&amp;F6&amp;":"&amp;H6)-$I$4)</f>
        <v>0.028414351851851847</v>
      </c>
      <c r="J6" s="51">
        <f aca="true" t="shared" si="1" ref="J6:J30">IF(ISERROR(IF(I6="DNS","DNS",IF(I6="DNF","DNF",IF(I6="DSQ","DSQ",RANK(I6,I$6:I$30,1))))),"",IF(I6="DNS","DNS",IF(I6="DNF","DNF",IF(I6="DSQ","DSQ",RANK(I6,I$6:I$30,1)))))</f>
        <v>6</v>
      </c>
      <c r="K6" s="52">
        <f>IF(ISERROR(VLOOKUP(J6,'Data sheet'!$B$3:$C$32,2,FALSE)),"",IF(I6="DNF",$I$32,(VLOOKUP(J6,'Data sheet'!$B$3:$C$32,2,FALSE))))</f>
        <v>6</v>
      </c>
      <c r="L6" s="29"/>
      <c r="M6" s="93">
        <f>IF('Data sheet'!I3="","",'Data sheet'!I3)</f>
        <v>0.005555555555555555</v>
      </c>
      <c r="N6" s="53">
        <f>IF(I6="","",IF($C$1="Handicap",I6,IF(I6="DNS","DNS",IF(I6="DNF","DNF",IF(I6="DSQ","DSQ",I6-M6)))))</f>
        <v>0.022858796296296294</v>
      </c>
      <c r="O6" s="51">
        <f aca="true" t="shared" si="2" ref="O6:O30">IF(I6="","",IF(N6="DNS","DNS",IF(N6="DNF","DNF",IF(N6="DSQ","DSQ",RANK(N6,N$6:N$30,1)))))</f>
        <v>1</v>
      </c>
      <c r="P6" s="52">
        <f>IF(O6="","",IF(O6="DNF",$I$32,VLOOKUP(O6,'Data sheet'!$B$3:$C$32,2,FALSE)))</f>
        <v>1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0.005555555555555555</v>
      </c>
      <c r="S6" s="101">
        <f>R6</f>
        <v>0.005555555555555555</v>
      </c>
      <c r="T6" s="103">
        <f>IF(R6="","",S6-S$32)</f>
        <v>0.0034722222222222216</v>
      </c>
      <c r="U6" s="104">
        <f aca="true" t="shared" si="3" ref="U6:U30">IF(T6=0,0,IF(O6="DNS",M6,IF(O6="DSQ",M6,T6)))</f>
        <v>0.0034722222222222216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40</v>
      </c>
      <c r="G7" s="10" t="s">
        <v>112</v>
      </c>
      <c r="H7" s="12">
        <v>9</v>
      </c>
      <c r="I7" s="50">
        <f t="shared" si="0"/>
        <v>0.027881944444444445</v>
      </c>
      <c r="J7" s="51">
        <f t="shared" si="1"/>
        <v>5</v>
      </c>
      <c r="K7" s="52">
        <f>IF(ISERROR(VLOOKUP(J7,'Data sheet'!$B$3:$C$32,2,FALSE)),"",IF(I7="DNF",$I$32,(VLOOKUP(J7,'Data sheet'!$B$3:$C$32,2,FALSE))))</f>
        <v>5</v>
      </c>
      <c r="L7" s="29"/>
      <c r="M7" s="93">
        <f>IF('Data sheet'!I4="","",'Data sheet'!I4)</f>
        <v>0.0034722222222222216</v>
      </c>
      <c r="N7" s="53">
        <f aca="true" t="shared" si="4" ref="N7:N30">IF(I7="","",IF($C$1="Handicap",I7,IF(I7="DNS","DNS",IF(I7="DNF","DNF",IF(I7="DSQ","DSQ",I7-M7)))))</f>
        <v>0.024409722222222225</v>
      </c>
      <c r="O7" s="51">
        <f t="shared" si="2"/>
        <v>6</v>
      </c>
      <c r="P7" s="52">
        <f>IF(O7="","",IF(O7="DNF",$I$32,VLOOKUP(O7,'Data sheet'!$B$3:$C$32,2,FALSE)))</f>
        <v>6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0.005555555555555555</v>
      </c>
      <c r="S7" s="101">
        <f aca="true" t="shared" si="5" ref="S7:S30">R7</f>
        <v>0.005555555555555555</v>
      </c>
      <c r="T7" s="103">
        <f aca="true" t="shared" si="6" ref="T7:T30">IF(R7="","",S7-S$32)</f>
        <v>0.0034722222222222216</v>
      </c>
      <c r="U7" s="104">
        <f t="shared" si="3"/>
        <v>0.0034722222222222216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46</v>
      </c>
      <c r="G8" s="10" t="s">
        <v>112</v>
      </c>
      <c r="H8" s="12">
        <v>55</v>
      </c>
      <c r="I8" s="50">
        <f t="shared" si="0"/>
        <v>0.032581018518518516</v>
      </c>
      <c r="J8" s="51">
        <f t="shared" si="1"/>
        <v>10</v>
      </c>
      <c r="K8" s="52">
        <f>IF(ISERROR(VLOOKUP(J8,'Data sheet'!$B$3:$C$32,2,FALSE)),"",IF(I8="DNF",$I$32,(VLOOKUP(J8,'Data sheet'!$B$3:$C$32,2,FALSE))))</f>
        <v>10</v>
      </c>
      <c r="L8" s="29"/>
      <c r="M8" s="93">
        <f>IF('Data sheet'!I5="","",'Data sheet'!I5)</f>
        <v>0.0076388888888888895</v>
      </c>
      <c r="N8" s="53">
        <f t="shared" si="4"/>
        <v>0.024942129629629627</v>
      </c>
      <c r="O8" s="51">
        <f t="shared" si="2"/>
        <v>7</v>
      </c>
      <c r="P8" s="52">
        <f>IF(O8="","",IF(O8="DNF",$I$32,VLOOKUP(O8,'Data sheet'!$B$3:$C$32,2,FALSE)))</f>
        <v>7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0.009722222222222222</v>
      </c>
      <c r="S8" s="101">
        <f t="shared" si="5"/>
        <v>0.009722222222222222</v>
      </c>
      <c r="T8" s="103">
        <f t="shared" si="6"/>
        <v>0.0076388888888888895</v>
      </c>
      <c r="U8" s="104">
        <f t="shared" si="3"/>
        <v>0.0076388888888888895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42</v>
      </c>
      <c r="G9" s="10" t="s">
        <v>112</v>
      </c>
      <c r="H9" s="12">
        <v>1</v>
      </c>
      <c r="I9" s="50">
        <f t="shared" si="0"/>
        <v>0.02917824074074074</v>
      </c>
      <c r="J9" s="51">
        <f t="shared" si="1"/>
        <v>8</v>
      </c>
      <c r="K9" s="52">
        <f>IF(ISERROR(VLOOKUP(J9,'Data sheet'!$B$3:$C$32,2,FALSE)),"",IF(I9="DNF",$I$32,(VLOOKUP(J9,'Data sheet'!$B$3:$C$32,2,FALSE))))</f>
        <v>8</v>
      </c>
      <c r="L9" s="29"/>
      <c r="M9" s="93">
        <f>IF('Data sheet'!I6="","",'Data sheet'!I6)</f>
        <v>0.004861111111111111</v>
      </c>
      <c r="N9" s="53">
        <f t="shared" si="4"/>
        <v>0.02431712962962963</v>
      </c>
      <c r="O9" s="51">
        <f t="shared" si="2"/>
        <v>5</v>
      </c>
      <c r="P9" s="52">
        <f>IF(O9="","",IF(O9="DNF",$I$32,VLOOKUP(O9,'Data sheet'!$B$3:$C$32,2,FALSE)))</f>
        <v>5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0.006944444444444444</v>
      </c>
      <c r="S9" s="101">
        <f t="shared" si="5"/>
        <v>0.006944444444444444</v>
      </c>
      <c r="T9" s="103">
        <f t="shared" si="6"/>
        <v>0.004861111111111111</v>
      </c>
      <c r="U9" s="104">
        <f t="shared" si="3"/>
        <v>0.004861111111111111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37</v>
      </c>
      <c r="G10" s="10" t="s">
        <v>112</v>
      </c>
      <c r="H10" s="12">
        <v>45</v>
      </c>
      <c r="I10" s="50">
        <f t="shared" si="0"/>
        <v>0.02621527777777778</v>
      </c>
      <c r="J10" s="51">
        <f t="shared" si="1"/>
        <v>2</v>
      </c>
      <c r="K10" s="52">
        <f>IF(ISERROR(VLOOKUP(J10,'Data sheet'!$B$3:$C$32,2,FALSE)),"",IF(I10="DNF",$I$32,(VLOOKUP(J10,'Data sheet'!$B$3:$C$32,2,FALSE))))</f>
        <v>2</v>
      </c>
      <c r="L10" s="29"/>
      <c r="M10" s="93">
        <f>IF('Data sheet'!I7="","",'Data sheet'!I7)</f>
        <v>0.0006944444444444446</v>
      </c>
      <c r="N10" s="53">
        <f t="shared" si="4"/>
        <v>0.025520833333333333</v>
      </c>
      <c r="O10" s="51">
        <f t="shared" si="2"/>
        <v>8</v>
      </c>
      <c r="P10" s="52">
        <f>IF(O10="","",IF(O10="DNF",$I$32,VLOOKUP(O10,'Data sheet'!$B$3:$C$32,2,FALSE)))</f>
        <v>8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0.002777777777777778</v>
      </c>
      <c r="S10" s="101">
        <f t="shared" si="5"/>
        <v>0.002777777777777778</v>
      </c>
      <c r="T10" s="103">
        <f t="shared" si="6"/>
        <v>0.0006944444444444446</v>
      </c>
      <c r="U10" s="104">
        <f t="shared" si="3"/>
        <v>0.0006944444444444446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39</v>
      </c>
      <c r="G11" s="10" t="s">
        <v>112</v>
      </c>
      <c r="H11" s="12">
        <v>10</v>
      </c>
      <c r="I11" s="50">
        <f t="shared" si="0"/>
        <v>0.027199074074074073</v>
      </c>
      <c r="J11" s="51">
        <f t="shared" si="1"/>
        <v>4</v>
      </c>
      <c r="K11" s="52">
        <f>IF(ISERROR(VLOOKUP(J11,'Data sheet'!$B$3:$C$32,2,FALSE)),"",IF(I11="DNF",$I$32,(VLOOKUP(J11,'Data sheet'!$B$3:$C$32,2,FALSE))))</f>
        <v>4</v>
      </c>
      <c r="L11" s="29"/>
      <c r="M11" s="93">
        <f>IF('Data sheet'!I8="","",'Data sheet'!I8)</f>
        <v>0.0034722222222222233</v>
      </c>
      <c r="N11" s="53">
        <f t="shared" si="4"/>
        <v>0.02372685185185185</v>
      </c>
      <c r="O11" s="51">
        <f t="shared" si="2"/>
        <v>2</v>
      </c>
      <c r="P11" s="52">
        <f>IF(O11="","",IF(O11="DNF",$I$32,VLOOKUP(O11,'Data sheet'!$B$3:$C$32,2,FALSE)))</f>
        <v>2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0.0041666666666666675</v>
      </c>
      <c r="S11" s="101">
        <f t="shared" si="5"/>
        <v>0.0041666666666666675</v>
      </c>
      <c r="T11" s="103">
        <f t="shared" si="6"/>
        <v>0.002083333333333334</v>
      </c>
      <c r="U11" s="104">
        <f t="shared" si="3"/>
        <v>0.002083333333333334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38</v>
      </c>
      <c r="G12" s="10" t="s">
        <v>112</v>
      </c>
      <c r="H12" s="12">
        <v>13</v>
      </c>
      <c r="I12" s="50">
        <f t="shared" si="0"/>
        <v>0.026539351851851852</v>
      </c>
      <c r="J12" s="51">
        <f t="shared" si="1"/>
        <v>3</v>
      </c>
      <c r="K12" s="52">
        <f>IF(ISERROR(VLOOKUP(J12,'Data sheet'!$B$3:$C$32,2,FALSE)),"",IF(I12="DNF",$I$32,(VLOOKUP(J12,'Data sheet'!$B$3:$C$32,2,FALSE))))</f>
        <v>3</v>
      </c>
      <c r="L12" s="29"/>
      <c r="M12" s="93">
        <f>IF('Data sheet'!I9="","",'Data sheet'!I9)</f>
        <v>0.0006944444444444446</v>
      </c>
      <c r="N12" s="53">
        <f t="shared" si="4"/>
        <v>0.025844907407407407</v>
      </c>
      <c r="O12" s="51">
        <f t="shared" si="2"/>
        <v>9</v>
      </c>
      <c r="P12" s="52">
        <f>IF(O12="","",IF(O12="DNF",$I$32,VLOOKUP(O12,'Data sheet'!$B$3:$C$32,2,FALSE)))</f>
        <v>9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5"/>
        <v>0.002777777777777778</v>
      </c>
      <c r="T12" s="103">
        <f t="shared" si="6"/>
        <v>0.0006944444444444446</v>
      </c>
      <c r="U12" s="104">
        <f t="shared" si="3"/>
        <v>0.0006944444444444446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41</v>
      </c>
      <c r="G13" s="10" t="s">
        <v>112</v>
      </c>
      <c r="H13" s="12">
        <v>54</v>
      </c>
      <c r="I13" s="50">
        <f t="shared" si="0"/>
        <v>0.029097222222222222</v>
      </c>
      <c r="J13" s="51">
        <f t="shared" si="1"/>
        <v>7</v>
      </c>
      <c r="K13" s="52">
        <f>IF(ISERROR(VLOOKUP(J13,'Data sheet'!$B$3:$C$32,2,FALSE)),"",IF(I13="DNF",$I$32,(VLOOKUP(J13,'Data sheet'!$B$3:$C$32,2,FALSE))))</f>
        <v>7</v>
      </c>
      <c r="L13" s="29"/>
      <c r="M13" s="93">
        <f>IF('Data sheet'!I10="","",'Data sheet'!I10)</f>
        <v>0.004861111111111113</v>
      </c>
      <c r="N13" s="53">
        <f t="shared" si="4"/>
        <v>0.02423611111111111</v>
      </c>
      <c r="O13" s="51">
        <f t="shared" si="2"/>
        <v>4</v>
      </c>
      <c r="P13" s="52">
        <f>IF(O13="","",IF(O13="DNF",$I$32,VLOOKUP(O13,'Data sheet'!$B$3:$C$32,2,FALSE)))</f>
        <v>4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0.006944444444444446</v>
      </c>
      <c r="S13" s="101">
        <f t="shared" si="5"/>
        <v>0.006944444444444446</v>
      </c>
      <c r="T13" s="103">
        <f t="shared" si="6"/>
        <v>0.004861111111111113</v>
      </c>
      <c r="U13" s="104">
        <f t="shared" si="3"/>
        <v>0.004861111111111113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44</v>
      </c>
      <c r="G14" s="10" t="s">
        <v>112</v>
      </c>
      <c r="H14" s="12">
        <v>31</v>
      </c>
      <c r="I14" s="50">
        <f t="shared" si="0"/>
        <v>0.03091435185185185</v>
      </c>
      <c r="J14" s="51">
        <f t="shared" si="1"/>
        <v>9</v>
      </c>
      <c r="K14" s="52">
        <f>IF(ISERROR(VLOOKUP(J14,'Data sheet'!$B$3:$C$32,2,FALSE)),"",IF(I14="DNF",$I$32,(VLOOKUP(J14,'Data sheet'!$B$3:$C$32,2,FALSE))))</f>
        <v>9</v>
      </c>
      <c r="L14" s="29"/>
      <c r="M14" s="93">
        <f>IF('Data sheet'!I11="","",'Data sheet'!I11)</f>
        <v>0.006944444444444444</v>
      </c>
      <c r="N14" s="53">
        <f t="shared" si="4"/>
        <v>0.023969907407407405</v>
      </c>
      <c r="O14" s="51">
        <f t="shared" si="2"/>
        <v>3</v>
      </c>
      <c r="P14" s="52">
        <f>IF(O14="","",IF(O14="DNF",$I$32,VLOOKUP(O14,'Data sheet'!$B$3:$C$32,2,FALSE)))</f>
        <v>3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0.008333333333333333</v>
      </c>
      <c r="S14" s="101">
        <f t="shared" si="5"/>
        <v>0.008333333333333333</v>
      </c>
      <c r="T14" s="103">
        <f t="shared" si="6"/>
        <v>0.00625</v>
      </c>
      <c r="U14" s="104">
        <f t="shared" si="3"/>
        <v>0.00625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37</v>
      </c>
      <c r="G15" s="10" t="s">
        <v>112</v>
      </c>
      <c r="H15" s="12">
        <v>30</v>
      </c>
      <c r="I15" s="50">
        <f t="shared" si="0"/>
        <v>0.026041666666666668</v>
      </c>
      <c r="J15" s="51">
        <f t="shared" si="1"/>
        <v>1</v>
      </c>
      <c r="K15" s="52">
        <f>IF(ISERROR(VLOOKUP(J15,'Data sheet'!$B$3:$C$32,2,FALSE)),"",IF(I15="DNF",$I$32,(VLOOKUP(J15,'Data sheet'!$B$3:$C$32,2,FALSE))))</f>
        <v>1</v>
      </c>
      <c r="L15" s="29"/>
      <c r="M15" s="93">
        <f>IF('Data sheet'!I12="","",'Data sheet'!I12)</f>
        <v>0</v>
      </c>
      <c r="N15" s="53">
        <f t="shared" si="4"/>
        <v>0.026041666666666668</v>
      </c>
      <c r="O15" s="51">
        <f t="shared" si="2"/>
        <v>10</v>
      </c>
      <c r="P15" s="52">
        <f>IF(O15="","",IF(O15="DNF",$I$32,VLOOKUP(O15,'Data sheet'!$B$3:$C$32,2,FALSE)))</f>
        <v>10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5"/>
        <v>0.0020833333333333333</v>
      </c>
      <c r="T15" s="103">
        <f t="shared" si="6"/>
        <v>0</v>
      </c>
      <c r="U15" s="104">
        <f t="shared" si="3"/>
        <v>0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sheet'!I13="","",'Data sheet'!I13)</f>
      </c>
      <c r="N16" s="53">
        <f t="shared" si="4"/>
      </c>
      <c r="O16" s="51">
        <f t="shared" si="2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5"/>
      </c>
      <c r="T16" s="103">
        <f t="shared" si="6"/>
      </c>
      <c r="U16" s="104">
        <f t="shared" si="3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sheet'!I14="","",'Data sheet'!I14)</f>
      </c>
      <c r="N17" s="53">
        <f t="shared" si="4"/>
      </c>
      <c r="O17" s="51">
        <f t="shared" si="2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5"/>
      </c>
      <c r="T17" s="103">
        <f t="shared" si="6"/>
      </c>
      <c r="U17" s="104">
        <f t="shared" si="3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sheet'!I15="","",'Data sheet'!I15)</f>
      </c>
      <c r="N18" s="53">
        <f t="shared" si="4"/>
      </c>
      <c r="O18" s="51">
        <f t="shared" si="2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5"/>
      </c>
      <c r="T18" s="103">
        <f t="shared" si="6"/>
      </c>
      <c r="U18" s="104">
        <f t="shared" si="3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sheet'!I16="","",'Data sheet'!I16)</f>
      </c>
      <c r="N19" s="53">
        <f t="shared" si="4"/>
      </c>
      <c r="O19" s="51">
        <f t="shared" si="2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5"/>
      </c>
      <c r="T19" s="103">
        <f t="shared" si="6"/>
      </c>
      <c r="U19" s="104">
        <f t="shared" si="3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sheet'!I17="","",'Data sheet'!I17)</f>
      </c>
      <c r="N20" s="53">
        <f t="shared" si="4"/>
      </c>
      <c r="O20" s="51">
        <f t="shared" si="2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5"/>
      </c>
      <c r="T20" s="103">
        <f t="shared" si="6"/>
      </c>
      <c r="U20" s="104">
        <f t="shared" si="3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sheet'!I18="","",'Data sheet'!I18)</f>
      </c>
      <c r="N21" s="53">
        <f t="shared" si="4"/>
      </c>
      <c r="O21" s="51">
        <f t="shared" si="2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5"/>
      </c>
      <c r="T21" s="103">
        <f t="shared" si="6"/>
      </c>
      <c r="U21" s="104">
        <f t="shared" si="3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sheet'!I19="","",'Data sheet'!I19)</f>
      </c>
      <c r="N22" s="53">
        <f t="shared" si="4"/>
      </c>
      <c r="O22" s="51">
        <f t="shared" si="2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5"/>
      </c>
      <c r="T22" s="103">
        <f t="shared" si="6"/>
      </c>
      <c r="U22" s="104">
        <f t="shared" si="3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sheet'!I20="","",'Data sheet'!I20)</f>
      </c>
      <c r="N23" s="53">
        <f t="shared" si="4"/>
      </c>
      <c r="O23" s="51">
        <f t="shared" si="2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5"/>
      </c>
      <c r="T23" s="103">
        <f t="shared" si="6"/>
      </c>
      <c r="U23" s="104">
        <f t="shared" si="3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sheet'!I21="","",'Data sheet'!I21)</f>
      </c>
      <c r="N24" s="53">
        <f t="shared" si="4"/>
      </c>
      <c r="O24" s="51">
        <f t="shared" si="2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5"/>
      </c>
      <c r="T24" s="103">
        <f t="shared" si="6"/>
      </c>
      <c r="U24" s="104">
        <f t="shared" si="3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sheet'!I22="","",'Data sheet'!I22)</f>
      </c>
      <c r="N25" s="53">
        <f t="shared" si="4"/>
      </c>
      <c r="O25" s="51">
        <f t="shared" si="2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5"/>
      </c>
      <c r="T25" s="103">
        <f t="shared" si="6"/>
      </c>
      <c r="U25" s="104">
        <f t="shared" si="3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sheet'!I23="","",'Data sheet'!I23)</f>
      </c>
      <c r="N26" s="53">
        <f t="shared" si="4"/>
      </c>
      <c r="O26" s="51">
        <f t="shared" si="2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5"/>
      </c>
      <c r="T26" s="103">
        <f t="shared" si="6"/>
      </c>
      <c r="U26" s="104">
        <f t="shared" si="3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sheet'!I24="","",'Data sheet'!I24)</f>
      </c>
      <c r="N27" s="53">
        <f t="shared" si="4"/>
      </c>
      <c r="O27" s="51">
        <f t="shared" si="2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5"/>
      </c>
      <c r="T27" s="103">
        <f t="shared" si="6"/>
      </c>
      <c r="U27" s="104">
        <f t="shared" si="3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sheet'!I25="","",'Data sheet'!I25)</f>
      </c>
      <c r="N28" s="53">
        <f t="shared" si="4"/>
      </c>
      <c r="O28" s="51">
        <f t="shared" si="2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5"/>
      </c>
      <c r="T28" s="103">
        <f t="shared" si="6"/>
      </c>
      <c r="U28" s="104">
        <f t="shared" si="3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sheet'!I26="","",'Data sheet'!I26)</f>
      </c>
      <c r="N29" s="53">
        <f t="shared" si="4"/>
      </c>
      <c r="O29" s="51">
        <f t="shared" si="2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5"/>
      </c>
      <c r="T29" s="103">
        <f t="shared" si="6"/>
      </c>
      <c r="U29" s="104">
        <f t="shared" si="3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sheet'!I27="","",'Data sheet'!I27)</f>
      </c>
      <c r="N30" s="53">
        <f t="shared" si="4"/>
      </c>
      <c r="O30" s="51">
        <f t="shared" si="2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5"/>
      </c>
      <c r="T30" s="103">
        <f t="shared" si="6"/>
      </c>
      <c r="U30" s="104">
        <f t="shared" si="3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2" right="0.22" top="0.37" bottom="0.22" header="0.18" footer="0.17"/>
  <pageSetup horizontalDpi="600" verticalDpi="600" orientation="landscape" paperSize="9"/>
  <headerFooter alignWithMargins="0">
    <oddHeader>&amp;C&amp;F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/>
  <dimension ref="B1:Y32"/>
  <sheetViews>
    <sheetView zoomScale="125" zoomScaleNormal="125" zoomScalePageLayoutView="0" workbookViewId="0" topLeftCell="A1">
      <pane ySplit="5" topLeftCell="BM6" activePane="bottomLeft" state="frozen"/>
      <selection pane="topLeft" activeCell="I4" sqref="I4"/>
      <selection pane="bottomLeft" activeCell="N18" sqref="N18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851562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9.28125" style="23" hidden="1" customWidth="1"/>
    <col min="18" max="18" width="15.421875" style="23" hidden="1" customWidth="1"/>
    <col min="19" max="19" width="14.140625" style="23" hidden="1" customWidth="1"/>
    <col min="20" max="20" width="13.003906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43109</v>
      </c>
    </row>
    <row r="2" ht="12.75"/>
    <row r="3" spans="2:15" ht="18" customHeight="1">
      <c r="B3" s="40" t="s">
        <v>78</v>
      </c>
      <c r="C3" s="41" t="s">
        <v>100</v>
      </c>
      <c r="D3" s="71">
        <v>2</v>
      </c>
      <c r="E3" s="42"/>
      <c r="F3" s="42"/>
      <c r="G3" s="42"/>
      <c r="H3" s="42"/>
      <c r="I3" s="43" t="s">
        <v>122</v>
      </c>
      <c r="J3" s="163" t="s">
        <v>92</v>
      </c>
      <c r="K3" s="164"/>
      <c r="N3" s="43" t="s">
        <v>123</v>
      </c>
      <c r="O3" s="72" t="s">
        <v>151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47</v>
      </c>
      <c r="G6" s="10" t="s">
        <v>112</v>
      </c>
      <c r="H6" s="12">
        <v>13</v>
      </c>
      <c r="I6" s="50">
        <f aca="true" t="shared" si="0" ref="I6:I30">IF(TIMEVALUE(D6&amp;":"&amp;F6&amp;":"&amp;H6)=0,"",TIMEVALUE(D6&amp;":"&amp;F6&amp;":"&amp;H6)-$I$4)</f>
        <v>0.032789351851851854</v>
      </c>
      <c r="J6" s="51">
        <f aca="true" t="shared" si="1" ref="J6:J30">IF(ISERROR(IF(I6="DNS","DNS",IF(I6="DNF","DNF",IF(I6="DSQ","DSQ",RANK(I6,I$6:I$30,1))))),"",IF(I6="DNS","DNS",IF(I6="DNF","DNF",IF(I6="DSQ","DSQ",RANK(I6,I$6:I$30,1)))))</f>
        <v>6</v>
      </c>
      <c r="K6" s="52">
        <f>IF(ISERROR(VLOOKUP(J6,'Data sheet'!$B$3:$C$32,2,FALSE)),"",IF(I6="DNF",$I$32,(VLOOKUP(J6,'Data sheet'!$B$3:$C$32,2,FALSE))))</f>
        <v>6</v>
      </c>
      <c r="L6" s="29"/>
      <c r="M6" s="93">
        <f>IF('Data sheet'!J3="","",'Data sheet'!J3)</f>
        <v>0.0034722222222222216</v>
      </c>
      <c r="N6" s="53">
        <f>IF(I6="","",IF($C$1="Handicap",I6,IF(I6="DNS","DNS",IF(I6="DNF","DNF",IF(I6="DSQ","DSQ",I6-M6)))))</f>
        <v>0.029317129629629634</v>
      </c>
      <c r="O6" s="51">
        <f aca="true" t="shared" si="2" ref="O6:O30">IF(I6="","",IF(N6="DNS","DNS",IF(N6="DNF","DNF",IF(N6="DSQ","DSQ",RANK(N6,N$6:N$30,1)))))</f>
        <v>6</v>
      </c>
      <c r="P6" s="52">
        <f>IF(O6="","",IF(O6="DNF",$I$32,VLOOKUP(O6,'Data sheet'!$B$3:$C$32,2,FALSE)))</f>
        <v>6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0.005555555555555555</v>
      </c>
      <c r="S6" s="101">
        <f>R6</f>
        <v>0.005555555555555555</v>
      </c>
      <c r="T6" s="103">
        <f>IF(R6="","",S6-S$32)</f>
        <v>0.0034722222222222216</v>
      </c>
      <c r="U6" s="104">
        <f aca="true" t="shared" si="3" ref="U6:U30">IF(T6=0,0,IF(O6="DNS",M6,IF(O6="DSQ",M6,T6)))</f>
        <v>0.0034722222222222216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45</v>
      </c>
      <c r="G7" s="10" t="s">
        <v>112</v>
      </c>
      <c r="H7" s="12">
        <v>0</v>
      </c>
      <c r="I7" s="50">
        <f t="shared" si="0"/>
        <v>0.03125</v>
      </c>
      <c r="J7" s="51">
        <f t="shared" si="1"/>
        <v>1</v>
      </c>
      <c r="K7" s="52">
        <f>IF(ISERROR(VLOOKUP(J7,'Data sheet'!$B$3:$C$32,2,FALSE)),"",IF(I7="DNF",$I$32,(VLOOKUP(J7,'Data sheet'!$B$3:$C$32,2,FALSE))))</f>
        <v>1</v>
      </c>
      <c r="L7" s="29"/>
      <c r="M7" s="93">
        <f>IF('Data sheet'!J4="","",'Data sheet'!J4)</f>
        <v>0.0034722222222222216</v>
      </c>
      <c r="N7" s="53">
        <f aca="true" t="shared" si="4" ref="N7:N30">IF(I7="","",IF($C$1="Handicap",I7,IF(I7="DNS","DNS",IF(I7="DNF","DNF",IF(I7="DSQ","DSQ",I7-M7)))))</f>
        <v>0.02777777777777778</v>
      </c>
      <c r="O7" s="51">
        <f t="shared" si="2"/>
        <v>2</v>
      </c>
      <c r="P7" s="52">
        <f>IF(O7="","",IF(O7="DNF",$I$32,VLOOKUP(O7,'Data sheet'!$B$3:$C$32,2,FALSE)))</f>
        <v>2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0.004166666666666666</v>
      </c>
      <c r="S7" s="101">
        <f aca="true" t="shared" si="5" ref="S7:S30">R7</f>
        <v>0.004166666666666666</v>
      </c>
      <c r="T7" s="103">
        <f aca="true" t="shared" si="6" ref="T7:T30">IF(R7="","",S7-S$32)</f>
        <v>0.0020833333333333324</v>
      </c>
      <c r="U7" s="104">
        <f t="shared" si="3"/>
        <v>0.0020833333333333324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51</v>
      </c>
      <c r="G8" s="10" t="s">
        <v>112</v>
      </c>
      <c r="H8" s="12">
        <v>46</v>
      </c>
      <c r="I8" s="50">
        <f t="shared" si="0"/>
        <v>0.03594907407407407</v>
      </c>
      <c r="J8" s="51">
        <f t="shared" si="1"/>
        <v>10</v>
      </c>
      <c r="K8" s="52">
        <f>IF(ISERROR(VLOOKUP(J8,'Data sheet'!$B$3:$C$32,2,FALSE)),"",IF(I8="DNF",$I$32,(VLOOKUP(J8,'Data sheet'!$B$3:$C$32,2,FALSE))))</f>
        <v>10</v>
      </c>
      <c r="L8" s="29"/>
      <c r="M8" s="93">
        <f>IF('Data sheet'!J5="","",'Data sheet'!J5)</f>
        <v>0.0076388888888888895</v>
      </c>
      <c r="N8" s="53">
        <f t="shared" si="4"/>
        <v>0.02831018518518518</v>
      </c>
      <c r="O8" s="51">
        <f t="shared" si="2"/>
        <v>4</v>
      </c>
      <c r="P8" s="52">
        <f>IF(O8="","",IF(O8="DNF",$I$32,VLOOKUP(O8,'Data sheet'!$B$3:$C$32,2,FALSE)))</f>
        <v>4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0.009722222222222222</v>
      </c>
      <c r="S8" s="101">
        <f t="shared" si="5"/>
        <v>0.009722222222222222</v>
      </c>
      <c r="T8" s="103">
        <f t="shared" si="6"/>
        <v>0.0076388888888888895</v>
      </c>
      <c r="U8" s="104">
        <f t="shared" si="3"/>
        <v>0.0076388888888888895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47</v>
      </c>
      <c r="G9" s="10" t="s">
        <v>112</v>
      </c>
      <c r="H9" s="12">
        <v>33</v>
      </c>
      <c r="I9" s="50">
        <f t="shared" si="0"/>
        <v>0.03302083333333333</v>
      </c>
      <c r="J9" s="51">
        <f t="shared" si="1"/>
        <v>7</v>
      </c>
      <c r="K9" s="52">
        <f>IF(ISERROR(VLOOKUP(J9,'Data sheet'!$B$3:$C$32,2,FALSE)),"",IF(I9="DNF",$I$32,(VLOOKUP(J9,'Data sheet'!$B$3:$C$32,2,FALSE))))</f>
        <v>7</v>
      </c>
      <c r="L9" s="29"/>
      <c r="M9" s="93">
        <f>IF('Data sheet'!J6="","",'Data sheet'!J6)</f>
        <v>0.004861111111111111</v>
      </c>
      <c r="N9" s="53">
        <f t="shared" si="4"/>
        <v>0.02815972222222222</v>
      </c>
      <c r="O9" s="51">
        <f t="shared" si="2"/>
        <v>3</v>
      </c>
      <c r="P9" s="52">
        <f>IF(O9="","",IF(O9="DNF",$I$32,VLOOKUP(O9,'Data sheet'!$B$3:$C$32,2,FALSE)))</f>
        <v>3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0.00625</v>
      </c>
      <c r="S9" s="101">
        <f t="shared" si="5"/>
        <v>0.00625</v>
      </c>
      <c r="T9" s="103">
        <f t="shared" si="6"/>
        <v>0.0041666666666666675</v>
      </c>
      <c r="U9" s="104">
        <f t="shared" si="3"/>
        <v>0.0041666666666666675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46</v>
      </c>
      <c r="G10" s="10" t="s">
        <v>112</v>
      </c>
      <c r="H10" s="12">
        <v>19</v>
      </c>
      <c r="I10" s="50">
        <f t="shared" si="0"/>
        <v>0.032164351851851854</v>
      </c>
      <c r="J10" s="51">
        <f t="shared" si="1"/>
        <v>5</v>
      </c>
      <c r="K10" s="52">
        <f>IF(ISERROR(VLOOKUP(J10,'Data sheet'!$B$3:$C$32,2,FALSE)),"",IF(I10="DNF",$I$32,(VLOOKUP(J10,'Data sheet'!$B$3:$C$32,2,FALSE))))</f>
        <v>5</v>
      </c>
      <c r="L10" s="29"/>
      <c r="M10" s="93">
        <f>IF('Data sheet'!J7="","",'Data sheet'!J7)</f>
        <v>0.0006944444444444446</v>
      </c>
      <c r="N10" s="53">
        <f t="shared" si="4"/>
        <v>0.03146990740740741</v>
      </c>
      <c r="O10" s="51">
        <f t="shared" si="2"/>
        <v>9</v>
      </c>
      <c r="P10" s="52">
        <f>IF(O10="","",IF(O10="DNF",$I$32,VLOOKUP(O10,'Data sheet'!$B$3:$C$32,2,FALSE)))</f>
        <v>9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0.002777777777777778</v>
      </c>
      <c r="S10" s="101">
        <f t="shared" si="5"/>
        <v>0.002777777777777778</v>
      </c>
      <c r="T10" s="103">
        <f t="shared" si="6"/>
        <v>0.0006944444444444446</v>
      </c>
      <c r="U10" s="104">
        <f t="shared" si="3"/>
        <v>0.0006944444444444446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45</v>
      </c>
      <c r="G11" s="10" t="s">
        <v>112</v>
      </c>
      <c r="H11" s="12">
        <v>30</v>
      </c>
      <c r="I11" s="50">
        <f t="shared" si="0"/>
        <v>0.03159722222222222</v>
      </c>
      <c r="J11" s="51">
        <f t="shared" si="1"/>
        <v>2</v>
      </c>
      <c r="K11" s="52">
        <f>IF(ISERROR(VLOOKUP(J11,'Data sheet'!$B$3:$C$32,2,FALSE)),"",IF(I11="DNF",$I$32,(VLOOKUP(J11,'Data sheet'!$B$3:$C$32,2,FALSE))))</f>
        <v>2</v>
      </c>
      <c r="L11" s="29"/>
      <c r="M11" s="93">
        <f>IF('Data sheet'!J8="","",'Data sheet'!J8)</f>
        <v>0.002083333333333334</v>
      </c>
      <c r="N11" s="53">
        <f t="shared" si="4"/>
        <v>0.029513888888888888</v>
      </c>
      <c r="O11" s="51">
        <f t="shared" si="2"/>
        <v>7</v>
      </c>
      <c r="P11" s="52">
        <f>IF(O11="","",IF(O11="DNF",$I$32,VLOOKUP(O11,'Data sheet'!$B$3:$C$32,2,FALSE)))</f>
        <v>7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0.0041666666666666675</v>
      </c>
      <c r="S11" s="101">
        <f t="shared" si="5"/>
        <v>0.0041666666666666675</v>
      </c>
      <c r="T11" s="103">
        <f t="shared" si="6"/>
        <v>0.002083333333333334</v>
      </c>
      <c r="U11" s="104">
        <f t="shared" si="3"/>
        <v>0.002083333333333334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45</v>
      </c>
      <c r="G12" s="10" t="s">
        <v>112</v>
      </c>
      <c r="H12" s="12">
        <v>48</v>
      </c>
      <c r="I12" s="50">
        <f t="shared" si="0"/>
        <v>0.03180555555555555</v>
      </c>
      <c r="J12" s="51">
        <f t="shared" si="1"/>
        <v>3</v>
      </c>
      <c r="K12" s="52">
        <f>IF(ISERROR(VLOOKUP(J12,'Data sheet'!$B$3:$C$32,2,FALSE)),"",IF(I12="DNF",$I$32,(VLOOKUP(J12,'Data sheet'!$B$3:$C$32,2,FALSE))))</f>
        <v>3</v>
      </c>
      <c r="L12" s="29"/>
      <c r="M12" s="93">
        <f>IF('Data sheet'!J9="","",'Data sheet'!J9)</f>
        <v>0.0006944444444444446</v>
      </c>
      <c r="N12" s="53">
        <f t="shared" si="4"/>
        <v>0.031111111111111107</v>
      </c>
      <c r="O12" s="51">
        <f t="shared" si="2"/>
        <v>8</v>
      </c>
      <c r="P12" s="52">
        <f>IF(O12="","",IF(O12="DNF",$I$32,VLOOKUP(O12,'Data sheet'!$B$3:$C$32,2,FALSE)))</f>
        <v>8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5"/>
        <v>0.002777777777777778</v>
      </c>
      <c r="T12" s="103">
        <f t="shared" si="6"/>
        <v>0.0006944444444444446</v>
      </c>
      <c r="U12" s="104">
        <f t="shared" si="3"/>
        <v>0.0006944444444444446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47</v>
      </c>
      <c r="G13" s="10" t="s">
        <v>112</v>
      </c>
      <c r="H13" s="12">
        <v>48</v>
      </c>
      <c r="I13" s="50">
        <f t="shared" si="0"/>
        <v>0.03319444444444444</v>
      </c>
      <c r="J13" s="51">
        <f t="shared" si="1"/>
        <v>8</v>
      </c>
      <c r="K13" s="52">
        <f>IF(ISERROR(VLOOKUP(J13,'Data sheet'!$B$3:$C$32,2,FALSE)),"",IF(I13="DNF",$I$32,(VLOOKUP(J13,'Data sheet'!$B$3:$C$32,2,FALSE))))</f>
        <v>8</v>
      </c>
      <c r="L13" s="29"/>
      <c r="M13" s="93">
        <f>IF('Data sheet'!J10="","",'Data sheet'!J10)</f>
        <v>0.004861111111111113</v>
      </c>
      <c r="N13" s="53">
        <f t="shared" si="4"/>
        <v>0.02833333333333333</v>
      </c>
      <c r="O13" s="51">
        <f t="shared" si="2"/>
        <v>5</v>
      </c>
      <c r="P13" s="52">
        <f>IF(O13="","",IF(O13="DNF",$I$32,VLOOKUP(O13,'Data sheet'!$B$3:$C$32,2,FALSE)))</f>
        <v>5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0.006944444444444446</v>
      </c>
      <c r="S13" s="101">
        <f t="shared" si="5"/>
        <v>0.006944444444444446</v>
      </c>
      <c r="T13" s="103">
        <f t="shared" si="6"/>
        <v>0.004861111111111113</v>
      </c>
      <c r="U13" s="104">
        <f t="shared" si="3"/>
        <v>0.004861111111111113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48</v>
      </c>
      <c r="G14" s="10" t="s">
        <v>112</v>
      </c>
      <c r="H14" s="12">
        <v>28</v>
      </c>
      <c r="I14" s="50">
        <f t="shared" si="0"/>
        <v>0.03365740740740741</v>
      </c>
      <c r="J14" s="51">
        <f t="shared" si="1"/>
        <v>9</v>
      </c>
      <c r="K14" s="52">
        <f>IF(ISERROR(VLOOKUP(J14,'Data sheet'!$B$3:$C$32,2,FALSE)),"",IF(I14="DNF",$I$32,(VLOOKUP(J14,'Data sheet'!$B$3:$C$32,2,FALSE))))</f>
        <v>9</v>
      </c>
      <c r="L14" s="29"/>
      <c r="M14" s="93">
        <f>IF('Data sheet'!J11="","",'Data sheet'!J11)</f>
        <v>0.00625</v>
      </c>
      <c r="N14" s="53">
        <f t="shared" si="4"/>
        <v>0.027407407407407408</v>
      </c>
      <c r="O14" s="51">
        <f t="shared" si="2"/>
        <v>1</v>
      </c>
      <c r="P14" s="52">
        <f>IF(O14="","",IF(O14="DNF",$I$32,VLOOKUP(O14,'Data sheet'!$B$3:$C$32,2,FALSE)))</f>
        <v>1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0.00625</v>
      </c>
      <c r="S14" s="101">
        <f t="shared" si="5"/>
        <v>0.00625</v>
      </c>
      <c r="T14" s="103">
        <f t="shared" si="6"/>
        <v>0.0041666666666666675</v>
      </c>
      <c r="U14" s="104">
        <f t="shared" si="3"/>
        <v>0.0041666666666666675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45</v>
      </c>
      <c r="G15" s="10" t="s">
        <v>112</v>
      </c>
      <c r="H15" s="12">
        <v>58</v>
      </c>
      <c r="I15" s="50">
        <f t="shared" si="0"/>
        <v>0.0319212962962963</v>
      </c>
      <c r="J15" s="51">
        <f t="shared" si="1"/>
        <v>4</v>
      </c>
      <c r="K15" s="52">
        <f>IF(ISERROR(VLOOKUP(J15,'Data sheet'!$B$3:$C$32,2,FALSE)),"",IF(I15="DNF",$I$32,(VLOOKUP(J15,'Data sheet'!$B$3:$C$32,2,FALSE))))</f>
        <v>4</v>
      </c>
      <c r="L15" s="29"/>
      <c r="M15" s="93">
        <f>IF('Data sheet'!J12="","",'Data sheet'!J12)</f>
        <v>0</v>
      </c>
      <c r="N15" s="53">
        <f t="shared" si="4"/>
        <v>0.0319212962962963</v>
      </c>
      <c r="O15" s="51">
        <f t="shared" si="2"/>
        <v>10</v>
      </c>
      <c r="P15" s="52">
        <f>IF(O15="","",IF(O15="DNF",$I$32,VLOOKUP(O15,'Data sheet'!$B$3:$C$32,2,FALSE)))</f>
        <v>10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5"/>
        <v>0.0020833333333333333</v>
      </c>
      <c r="T15" s="103">
        <f t="shared" si="6"/>
        <v>0</v>
      </c>
      <c r="U15" s="104">
        <f t="shared" si="3"/>
        <v>0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sheet'!J13="","",'Data sheet'!J13)</f>
      </c>
      <c r="N16" s="53">
        <f t="shared" si="4"/>
      </c>
      <c r="O16" s="51">
        <f t="shared" si="2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5"/>
      </c>
      <c r="T16" s="103">
        <f t="shared" si="6"/>
      </c>
      <c r="U16" s="104">
        <f t="shared" si="3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sheet'!J14="","",'Data sheet'!J14)</f>
      </c>
      <c r="N17" s="53">
        <f t="shared" si="4"/>
      </c>
      <c r="O17" s="51">
        <f t="shared" si="2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5"/>
      </c>
      <c r="T17" s="103">
        <f t="shared" si="6"/>
      </c>
      <c r="U17" s="104">
        <f t="shared" si="3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sheet'!J15="","",'Data sheet'!J15)</f>
      </c>
      <c r="N18" s="53">
        <f t="shared" si="4"/>
      </c>
      <c r="O18" s="51">
        <f t="shared" si="2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5"/>
      </c>
      <c r="T18" s="103">
        <f t="shared" si="6"/>
      </c>
      <c r="U18" s="104">
        <f t="shared" si="3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sheet'!J16="","",'Data sheet'!J16)</f>
      </c>
      <c r="N19" s="53">
        <f t="shared" si="4"/>
      </c>
      <c r="O19" s="51">
        <f t="shared" si="2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5"/>
      </c>
      <c r="T19" s="103">
        <f t="shared" si="6"/>
      </c>
      <c r="U19" s="104">
        <f t="shared" si="3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sheet'!J17="","",'Data sheet'!J17)</f>
      </c>
      <c r="N20" s="53">
        <f t="shared" si="4"/>
      </c>
      <c r="O20" s="51">
        <f t="shared" si="2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5"/>
      </c>
      <c r="T20" s="103">
        <f t="shared" si="6"/>
      </c>
      <c r="U20" s="104">
        <f t="shared" si="3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sheet'!J18="","",'Data sheet'!J18)</f>
      </c>
      <c r="N21" s="53">
        <f t="shared" si="4"/>
      </c>
      <c r="O21" s="51">
        <f t="shared" si="2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5"/>
      </c>
      <c r="T21" s="103">
        <f t="shared" si="6"/>
      </c>
      <c r="U21" s="104">
        <f t="shared" si="3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sheet'!J19="","",'Data sheet'!J19)</f>
      </c>
      <c r="N22" s="53">
        <f t="shared" si="4"/>
      </c>
      <c r="O22" s="51">
        <f t="shared" si="2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5"/>
      </c>
      <c r="T22" s="103">
        <f t="shared" si="6"/>
      </c>
      <c r="U22" s="104">
        <f t="shared" si="3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sheet'!J20="","",'Data sheet'!J20)</f>
      </c>
      <c r="N23" s="53">
        <f t="shared" si="4"/>
      </c>
      <c r="O23" s="51">
        <f t="shared" si="2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5"/>
      </c>
      <c r="T23" s="103">
        <f t="shared" si="6"/>
      </c>
      <c r="U23" s="104">
        <f t="shared" si="3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sheet'!J21="","",'Data sheet'!J21)</f>
      </c>
      <c r="N24" s="53">
        <f t="shared" si="4"/>
      </c>
      <c r="O24" s="51">
        <f t="shared" si="2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5"/>
      </c>
      <c r="T24" s="103">
        <f t="shared" si="6"/>
      </c>
      <c r="U24" s="104">
        <f t="shared" si="3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sheet'!J22="","",'Data sheet'!J22)</f>
      </c>
      <c r="N25" s="53">
        <f t="shared" si="4"/>
      </c>
      <c r="O25" s="51">
        <f t="shared" si="2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5"/>
      </c>
      <c r="T25" s="103">
        <f t="shared" si="6"/>
      </c>
      <c r="U25" s="104">
        <f t="shared" si="3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sheet'!J23="","",'Data sheet'!J23)</f>
      </c>
      <c r="N26" s="53">
        <f t="shared" si="4"/>
      </c>
      <c r="O26" s="51">
        <f t="shared" si="2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5"/>
      </c>
      <c r="T26" s="103">
        <f t="shared" si="6"/>
      </c>
      <c r="U26" s="104">
        <f t="shared" si="3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sheet'!J24="","",'Data sheet'!J24)</f>
      </c>
      <c r="N27" s="53">
        <f t="shared" si="4"/>
      </c>
      <c r="O27" s="51">
        <f t="shared" si="2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5"/>
      </c>
      <c r="T27" s="103">
        <f t="shared" si="6"/>
      </c>
      <c r="U27" s="104">
        <f t="shared" si="3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sheet'!J25="","",'Data sheet'!J25)</f>
      </c>
      <c r="N28" s="53">
        <f t="shared" si="4"/>
      </c>
      <c r="O28" s="51">
        <f t="shared" si="2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5"/>
      </c>
      <c r="T28" s="103">
        <f t="shared" si="6"/>
      </c>
      <c r="U28" s="104">
        <f t="shared" si="3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sheet'!J26="","",'Data sheet'!J26)</f>
      </c>
      <c r="N29" s="53">
        <f t="shared" si="4"/>
      </c>
      <c r="O29" s="51">
        <f t="shared" si="2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5"/>
      </c>
      <c r="T29" s="103">
        <f t="shared" si="6"/>
      </c>
      <c r="U29" s="104">
        <f t="shared" si="3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sheet'!J27="","",'Data sheet'!J27)</f>
      </c>
      <c r="N30" s="53">
        <f t="shared" si="4"/>
      </c>
      <c r="O30" s="51">
        <f t="shared" si="2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5"/>
      </c>
      <c r="T30" s="103">
        <f t="shared" si="6"/>
      </c>
      <c r="U30" s="104">
        <f t="shared" si="3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11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2" right="0.22" top="0.37" bottom="0.22" header="0.18" footer="0.17"/>
  <pageSetup horizontalDpi="600" verticalDpi="600" orientation="landscape" paperSize="9"/>
  <headerFooter alignWithMargins="0">
    <oddHeader>&amp;C&amp;F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3"/>
  <dimension ref="B1:Y32"/>
  <sheetViews>
    <sheetView zoomScale="125" zoomScaleNormal="125" zoomScalePageLayoutView="0" workbookViewId="0" topLeftCell="A1">
      <selection activeCell="J18" sqref="J18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4.8515625" style="23" customWidth="1"/>
    <col min="4" max="4" width="2.710937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14.421875" style="23" hidden="1" customWidth="1"/>
    <col min="18" max="18" width="23.421875" style="23" hidden="1" customWidth="1"/>
    <col min="19" max="19" width="22.8515625" style="23" hidden="1" customWidth="1"/>
    <col min="20" max="20" width="17.281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43111</v>
      </c>
    </row>
    <row r="2" ht="12.75"/>
    <row r="3" spans="2:15" ht="18" customHeight="1">
      <c r="B3" s="40" t="s">
        <v>72</v>
      </c>
      <c r="C3" s="41" t="s">
        <v>100</v>
      </c>
      <c r="D3" s="71">
        <v>1</v>
      </c>
      <c r="E3" s="42"/>
      <c r="F3" s="42"/>
      <c r="G3" s="42"/>
      <c r="H3" s="42"/>
      <c r="I3" s="43" t="s">
        <v>122</v>
      </c>
      <c r="J3" s="163" t="s">
        <v>103</v>
      </c>
      <c r="K3" s="164"/>
      <c r="N3" s="43" t="s">
        <v>123</v>
      </c>
      <c r="O3" s="72" t="s">
        <v>104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31</v>
      </c>
      <c r="G6" s="10" t="s">
        <v>112</v>
      </c>
      <c r="H6" s="12">
        <v>22</v>
      </c>
      <c r="I6" s="50">
        <f aca="true" t="shared" si="0" ref="I6:I30">IF(TIMEVALUE(D6&amp;":"&amp;F6&amp;":"&amp;H6)=0,"",TIMEVALUE(D6&amp;":"&amp;F6&amp;":"&amp;H6)-$I$4)</f>
        <v>0.021782407407407407</v>
      </c>
      <c r="J6" s="51">
        <f aca="true" t="shared" si="1" ref="J6:J30">IF(ISERROR(IF(I6="DNS","DNS",IF(I6="DNF","DNF",IF(I6="DSQ","DSQ",RANK(I6,I$6:I$30,1))))),"",IF(I6="DNS","DNS",IF(I6="DNF","DNF",IF(I6="DSQ","DSQ",RANK(I6,I$6:I$30,1)))))</f>
        <v>5</v>
      </c>
      <c r="K6" s="52">
        <f>IF(ISERROR(VLOOKUP(J6,'Data sheet'!$B$3:$C$32,2,FALSE)),"",IF(I6="DNF",$I$32,(VLOOKUP(J6,'Data sheet'!$B$3:$C$32,2,FALSE))))</f>
        <v>5</v>
      </c>
      <c r="L6" s="29"/>
      <c r="M6" s="93">
        <f>IF('Data sheet'!K3="","",'Data sheet'!K3)</f>
        <v>0.0034722222222222216</v>
      </c>
      <c r="N6" s="53">
        <f>IF(I6="","",IF($C$1="Handicap",I6,IF(I6="DNS","DNS",IF(I6="DNF","DNF",IF(I6="DSQ","DSQ",I6-M6)))))</f>
        <v>0.018310185185185186</v>
      </c>
      <c r="O6" s="51">
        <f aca="true" t="shared" si="2" ref="O6:O30">IF(I6="","",IF(N6="DNS","DNS",IF(N6="DNF","DNF",IF(N6="DSQ","DSQ",RANK(N6,N$6:N$30,1)))))</f>
        <v>1</v>
      </c>
      <c r="P6" s="52">
        <f>IF(O6="","",IF(O6="DNF",$I$32,VLOOKUP(O6,'Data sheet'!$B$3:$C$32,2,FALSE)))</f>
        <v>1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0.0034722222222222216</v>
      </c>
      <c r="S6" s="101">
        <f>R6</f>
        <v>0.0034722222222222216</v>
      </c>
      <c r="T6" s="103">
        <f>IF(R6="","",S6-S$32)</f>
        <v>0.0013888888888888883</v>
      </c>
      <c r="U6" s="104">
        <f aca="true" t="shared" si="3" ref="U6:U30">IF(T6=0,0,IF(O6="DNS",M6,IF(O6="DSQ",M6,T6)))</f>
        <v>0.0013888888888888883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30</v>
      </c>
      <c r="G7" s="10" t="s">
        <v>112</v>
      </c>
      <c r="H7" s="12">
        <v>39</v>
      </c>
      <c r="I7" s="50">
        <f t="shared" si="0"/>
        <v>0.021284722222222222</v>
      </c>
      <c r="J7" s="51">
        <f t="shared" si="1"/>
        <v>3</v>
      </c>
      <c r="K7" s="52">
        <f>IF(ISERROR(VLOOKUP(J7,'Data sheet'!$B$3:$C$32,2,FALSE)),"",IF(I7="DNF",$I$32,(VLOOKUP(J7,'Data sheet'!$B$3:$C$32,2,FALSE))))</f>
        <v>3</v>
      </c>
      <c r="L7" s="29"/>
      <c r="M7" s="93">
        <f>IF('Data sheet'!K4="","",'Data sheet'!K4)</f>
        <v>0.0020833333333333324</v>
      </c>
      <c r="N7" s="53">
        <f aca="true" t="shared" si="4" ref="N7:N30">IF(I7="","",IF($C$1="Handicap",I7,IF(I7="DNS","DNS",IF(I7="DNF","DNF",IF(I7="DSQ","DSQ",I7-M7)))))</f>
        <v>0.01920138888888889</v>
      </c>
      <c r="O7" s="51">
        <f t="shared" si="2"/>
        <v>4</v>
      </c>
      <c r="P7" s="52">
        <f>IF(O7="","",IF(O7="DNF",$I$32,VLOOKUP(O7,'Data sheet'!$B$3:$C$32,2,FALSE)))</f>
        <v>4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0.004166666666666666</v>
      </c>
      <c r="S7" s="101">
        <f aca="true" t="shared" si="5" ref="S7:S30">R7</f>
        <v>0.004166666666666666</v>
      </c>
      <c r="T7" s="103">
        <f aca="true" t="shared" si="6" ref="T7:T30">IF(R7="","",S7-S$32)</f>
        <v>0.0020833333333333324</v>
      </c>
      <c r="U7" s="104">
        <f t="shared" si="3"/>
        <v>0.0020833333333333324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42</v>
      </c>
      <c r="G8" s="10" t="s">
        <v>112</v>
      </c>
      <c r="H8" s="12">
        <v>51</v>
      </c>
      <c r="I8" s="50">
        <f t="shared" si="0"/>
        <v>0.029756944444444447</v>
      </c>
      <c r="J8" s="51">
        <f t="shared" si="1"/>
        <v>9</v>
      </c>
      <c r="K8" s="52">
        <f>IF(ISERROR(VLOOKUP(J8,'Data sheet'!$B$3:$C$32,2,FALSE)),"",IF(I8="DNF",$I$32,(VLOOKUP(J8,'Data sheet'!$B$3:$C$32,2,FALSE))))</f>
        <v>9</v>
      </c>
      <c r="L8" s="29"/>
      <c r="M8" s="93">
        <f>IF('Data sheet'!K5="","",'Data sheet'!K5)</f>
        <v>0.0076388888888888895</v>
      </c>
      <c r="N8" s="53">
        <f t="shared" si="4"/>
        <v>0.022118055555555557</v>
      </c>
      <c r="O8" s="51">
        <f t="shared" si="2"/>
        <v>9</v>
      </c>
      <c r="P8" s="52">
        <f>IF(O8="","",IF(O8="DNF",$I$32,VLOOKUP(O8,'Data sheet'!$B$3:$C$32,2,FALSE)))</f>
        <v>9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0.009722222222222222</v>
      </c>
      <c r="S8" s="101">
        <f t="shared" si="5"/>
        <v>0.009722222222222222</v>
      </c>
      <c r="T8" s="103">
        <f t="shared" si="6"/>
        <v>0.0076388888888888895</v>
      </c>
      <c r="U8" s="104">
        <f t="shared" si="3"/>
        <v>0.0076388888888888895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32</v>
      </c>
      <c r="G9" s="10" t="s">
        <v>112</v>
      </c>
      <c r="H9" s="12">
        <v>49</v>
      </c>
      <c r="I9" s="50">
        <f t="shared" si="0"/>
        <v>0.022789351851851852</v>
      </c>
      <c r="J9" s="51">
        <f t="shared" si="1"/>
        <v>6</v>
      </c>
      <c r="K9" s="52">
        <f>IF(ISERROR(VLOOKUP(J9,'Data sheet'!$B$3:$C$32,2,FALSE)),"",IF(I9="DNF",$I$32,(VLOOKUP(J9,'Data sheet'!$B$3:$C$32,2,FALSE))))</f>
        <v>6</v>
      </c>
      <c r="L9" s="29"/>
      <c r="M9" s="93">
        <f>IF('Data sheet'!K6="","",'Data sheet'!K6)</f>
        <v>0.0041666666666666675</v>
      </c>
      <c r="N9" s="53">
        <f t="shared" si="4"/>
        <v>0.018622685185185187</v>
      </c>
      <c r="O9" s="51">
        <f t="shared" si="2"/>
        <v>2</v>
      </c>
      <c r="P9" s="52">
        <f>IF(O9="","",IF(O9="DNF",$I$32,VLOOKUP(O9,'Data sheet'!$B$3:$C$32,2,FALSE)))</f>
        <v>2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0.004861111111111112</v>
      </c>
      <c r="S9" s="101">
        <f t="shared" si="5"/>
        <v>0.004861111111111112</v>
      </c>
      <c r="T9" s="103">
        <f t="shared" si="6"/>
        <v>0.0027777777777777788</v>
      </c>
      <c r="U9" s="104">
        <f t="shared" si="3"/>
        <v>0.0027777777777777788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31</v>
      </c>
      <c r="G10" s="10" t="s">
        <v>112</v>
      </c>
      <c r="H10" s="12">
        <v>7</v>
      </c>
      <c r="I10" s="50">
        <f t="shared" si="0"/>
        <v>0.021608796296296296</v>
      </c>
      <c r="J10" s="51">
        <f t="shared" si="1"/>
        <v>4</v>
      </c>
      <c r="K10" s="52">
        <f>IF(ISERROR(VLOOKUP(J10,'Data sheet'!$B$3:$C$32,2,FALSE)),"",IF(I10="DNF",$I$32,(VLOOKUP(J10,'Data sheet'!$B$3:$C$32,2,FALSE))))</f>
        <v>4</v>
      </c>
      <c r="L10" s="29"/>
      <c r="M10" s="93">
        <f>IF('Data sheet'!K7="","",'Data sheet'!K7)</f>
        <v>0.0006944444444444446</v>
      </c>
      <c r="N10" s="53">
        <f t="shared" si="4"/>
        <v>0.02091435185185185</v>
      </c>
      <c r="O10" s="51">
        <f t="shared" si="2"/>
        <v>7</v>
      </c>
      <c r="P10" s="52">
        <f>IF(O10="","",IF(O10="DNF",$I$32,VLOOKUP(O10,'Data sheet'!$B$3:$C$32,2,FALSE)))</f>
        <v>7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0.002777777777777778</v>
      </c>
      <c r="S10" s="101">
        <f t="shared" si="5"/>
        <v>0.002777777777777778</v>
      </c>
      <c r="T10" s="103">
        <f t="shared" si="6"/>
        <v>0.0006944444444444446</v>
      </c>
      <c r="U10" s="104">
        <f t="shared" si="3"/>
        <v>0.0006944444444444446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33</v>
      </c>
      <c r="G11" s="10" t="s">
        <v>112</v>
      </c>
      <c r="H11" s="12">
        <v>1</v>
      </c>
      <c r="I11" s="50">
        <f t="shared" si="0"/>
        <v>0.02292824074074074</v>
      </c>
      <c r="J11" s="51">
        <f t="shared" si="1"/>
        <v>7</v>
      </c>
      <c r="K11" s="52">
        <f>IF(ISERROR(VLOOKUP(J11,'Data sheet'!$B$3:$C$32,2,FALSE)),"",IF(I11="DNF",$I$32,(VLOOKUP(J11,'Data sheet'!$B$3:$C$32,2,FALSE))))</f>
        <v>7</v>
      </c>
      <c r="L11" s="29"/>
      <c r="M11" s="93">
        <f>IF('Data sheet'!K8="","",'Data sheet'!K8)</f>
        <v>0.002083333333333334</v>
      </c>
      <c r="N11" s="53">
        <f t="shared" si="4"/>
        <v>0.020844907407407406</v>
      </c>
      <c r="O11" s="51">
        <f t="shared" si="2"/>
        <v>6</v>
      </c>
      <c r="P11" s="52">
        <f>IF(O11="","",IF(O11="DNF",$I$32,VLOOKUP(O11,'Data sheet'!$B$3:$C$32,2,FALSE)))</f>
        <v>6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0.0041666666666666675</v>
      </c>
      <c r="S11" s="101">
        <f t="shared" si="5"/>
        <v>0.0041666666666666675</v>
      </c>
      <c r="T11" s="103">
        <f t="shared" si="6"/>
        <v>0.002083333333333334</v>
      </c>
      <c r="U11" s="104">
        <f t="shared" si="3"/>
        <v>0.002083333333333334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29</v>
      </c>
      <c r="G12" s="10" t="s">
        <v>112</v>
      </c>
      <c r="H12" s="12">
        <v>40</v>
      </c>
      <c r="I12" s="50">
        <f t="shared" si="0"/>
        <v>0.020601851851851854</v>
      </c>
      <c r="J12" s="51">
        <f t="shared" si="1"/>
        <v>1</v>
      </c>
      <c r="K12" s="52">
        <f>IF(ISERROR(VLOOKUP(J12,'Data sheet'!$B$3:$C$32,2,FALSE)),"",IF(I12="DNF",$I$32,(VLOOKUP(J12,'Data sheet'!$B$3:$C$32,2,FALSE))))</f>
        <v>1</v>
      </c>
      <c r="L12" s="29"/>
      <c r="M12" s="93">
        <f>IF('Data sheet'!K9="","",'Data sheet'!K9)</f>
        <v>0.0006944444444444446</v>
      </c>
      <c r="N12" s="53">
        <f t="shared" si="4"/>
        <v>0.01990740740740741</v>
      </c>
      <c r="O12" s="51">
        <f t="shared" si="2"/>
        <v>5</v>
      </c>
      <c r="P12" s="52">
        <f>IF(O12="","",IF(O12="DNF",$I$32,VLOOKUP(O12,'Data sheet'!$B$3:$C$32,2,FALSE)))</f>
        <v>5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5"/>
        <v>0.002777777777777778</v>
      </c>
      <c r="T12" s="103">
        <f t="shared" si="6"/>
        <v>0.0006944444444444446</v>
      </c>
      <c r="U12" s="104">
        <f t="shared" si="3"/>
        <v>0.0006944444444444446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34</v>
      </c>
      <c r="G13" s="10" t="s">
        <v>112</v>
      </c>
      <c r="H13" s="12">
        <v>6</v>
      </c>
      <c r="I13" s="50">
        <f t="shared" si="0"/>
        <v>0.023680555555555555</v>
      </c>
      <c r="J13" s="51">
        <f t="shared" si="1"/>
        <v>8</v>
      </c>
      <c r="K13" s="52">
        <f>IF(ISERROR(VLOOKUP(J13,'Data sheet'!$B$3:$C$32,2,FALSE)),"",IF(I13="DNF",$I$32,(VLOOKUP(J13,'Data sheet'!$B$3:$C$32,2,FALSE))))</f>
        <v>8</v>
      </c>
      <c r="L13" s="29"/>
      <c r="M13" s="93">
        <f>IF('Data sheet'!K10="","",'Data sheet'!K10)</f>
        <v>0.004861111111111113</v>
      </c>
      <c r="N13" s="53">
        <f t="shared" si="4"/>
        <v>0.018819444444444444</v>
      </c>
      <c r="O13" s="51">
        <f t="shared" si="2"/>
        <v>3</v>
      </c>
      <c r="P13" s="52">
        <f>IF(O13="","",IF(O13="DNF",$I$32,VLOOKUP(O13,'Data sheet'!$B$3:$C$32,2,FALSE)))</f>
        <v>3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0.006250000000000002</v>
      </c>
      <c r="S13" s="101">
        <f t="shared" si="5"/>
        <v>0.006250000000000002</v>
      </c>
      <c r="T13" s="103">
        <f t="shared" si="6"/>
        <v>0.004166666666666669</v>
      </c>
      <c r="U13" s="104">
        <f t="shared" si="3"/>
        <v>0.004166666666666669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0</v>
      </c>
      <c r="G14" s="10" t="s">
        <v>112</v>
      </c>
      <c r="H14" s="12">
        <v>0</v>
      </c>
      <c r="I14" s="50" t="s">
        <v>105</v>
      </c>
      <c r="J14" s="51" t="str">
        <f t="shared" si="1"/>
        <v>DNS</v>
      </c>
      <c r="K14" s="52">
        <f>IF(ISERROR(VLOOKUP(J14,'Data sheet'!$B$3:$C$32,2,FALSE)),"",IF(I14="DNF",$I$32,(VLOOKUP(J14,'Data sheet'!$B$3:$C$32,2,FALSE))))</f>
        <v>11</v>
      </c>
      <c r="L14" s="29"/>
      <c r="M14" s="93">
        <f>IF('Data sheet'!K11="","",'Data sheet'!K11)</f>
        <v>0.0041666666666666675</v>
      </c>
      <c r="N14" s="53" t="str">
        <f t="shared" si="4"/>
        <v>DNS</v>
      </c>
      <c r="O14" s="51" t="str">
        <f t="shared" si="2"/>
        <v>DNS</v>
      </c>
      <c r="P14" s="52">
        <f>IF(O14="","",IF(O14="DNF",$I$32,VLOOKUP(O14,'Data sheet'!$B$3:$C$32,2,FALSE)))</f>
        <v>11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0.00625</v>
      </c>
      <c r="S14" s="101">
        <f t="shared" si="5"/>
        <v>0.00625</v>
      </c>
      <c r="T14" s="103">
        <f t="shared" si="6"/>
        <v>0.0041666666666666675</v>
      </c>
      <c r="U14" s="104">
        <f t="shared" si="3"/>
        <v>0.0041666666666666675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30</v>
      </c>
      <c r="G15" s="10" t="s">
        <v>112</v>
      </c>
      <c r="H15" s="12">
        <v>7</v>
      </c>
      <c r="I15" s="50">
        <f t="shared" si="0"/>
        <v>0.02091435185185185</v>
      </c>
      <c r="J15" s="51">
        <f t="shared" si="1"/>
        <v>2</v>
      </c>
      <c r="K15" s="52">
        <f>IF(ISERROR(VLOOKUP(J15,'Data sheet'!$B$3:$C$32,2,FALSE)),"",IF(I15="DNF",$I$32,(VLOOKUP(J15,'Data sheet'!$B$3:$C$32,2,FALSE))))</f>
        <v>2</v>
      </c>
      <c r="L15" s="29"/>
      <c r="M15" s="93">
        <f>IF('Data sheet'!K12="","",'Data sheet'!K12)</f>
        <v>0</v>
      </c>
      <c r="N15" s="53">
        <f t="shared" si="4"/>
        <v>0.02091435185185185</v>
      </c>
      <c r="O15" s="51">
        <f t="shared" si="2"/>
        <v>7</v>
      </c>
      <c r="P15" s="52">
        <f>IF(O15="","",IF(O15="DNF",$I$32,VLOOKUP(O15,'Data sheet'!$B$3:$C$32,2,FALSE)))</f>
        <v>7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5"/>
        <v>0.0020833333333333333</v>
      </c>
      <c r="T15" s="103">
        <f t="shared" si="6"/>
        <v>0</v>
      </c>
      <c r="U15" s="104">
        <f t="shared" si="3"/>
        <v>0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sheet'!K13="","",'Data sheet'!K13)</f>
      </c>
      <c r="N16" s="53">
        <f t="shared" si="4"/>
      </c>
      <c r="O16" s="51">
        <f t="shared" si="2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5"/>
      </c>
      <c r="T16" s="103">
        <f t="shared" si="6"/>
      </c>
      <c r="U16" s="104">
        <f t="shared" si="3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sheet'!K14="","",'Data sheet'!K14)</f>
      </c>
      <c r="N17" s="53">
        <f t="shared" si="4"/>
      </c>
      <c r="O17" s="51">
        <f t="shared" si="2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5"/>
      </c>
      <c r="T17" s="103">
        <f t="shared" si="6"/>
      </c>
      <c r="U17" s="104">
        <f t="shared" si="3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sheet'!K15="","",'Data sheet'!K15)</f>
      </c>
      <c r="N18" s="53">
        <f t="shared" si="4"/>
      </c>
      <c r="O18" s="51">
        <f t="shared" si="2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5"/>
      </c>
      <c r="T18" s="103">
        <f t="shared" si="6"/>
      </c>
      <c r="U18" s="104">
        <f t="shared" si="3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sheet'!K16="","",'Data sheet'!K16)</f>
      </c>
      <c r="N19" s="53">
        <f t="shared" si="4"/>
      </c>
      <c r="O19" s="51">
        <f t="shared" si="2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5"/>
      </c>
      <c r="T19" s="103">
        <f t="shared" si="6"/>
      </c>
      <c r="U19" s="104">
        <f t="shared" si="3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sheet'!K17="","",'Data sheet'!K17)</f>
      </c>
      <c r="N20" s="53">
        <f t="shared" si="4"/>
      </c>
      <c r="O20" s="51">
        <f t="shared" si="2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5"/>
      </c>
      <c r="T20" s="103">
        <f t="shared" si="6"/>
      </c>
      <c r="U20" s="104">
        <f t="shared" si="3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sheet'!K18="","",'Data sheet'!K18)</f>
      </c>
      <c r="N21" s="53">
        <f t="shared" si="4"/>
      </c>
      <c r="O21" s="51">
        <f t="shared" si="2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5"/>
      </c>
      <c r="T21" s="103">
        <f t="shared" si="6"/>
      </c>
      <c r="U21" s="104">
        <f t="shared" si="3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/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sheet'!K19="","",'Data sheet'!K19)</f>
      </c>
      <c r="N22" s="53">
        <f t="shared" si="4"/>
      </c>
      <c r="O22" s="51">
        <f t="shared" si="2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5"/>
      </c>
      <c r="T22" s="103">
        <f t="shared" si="6"/>
      </c>
      <c r="U22" s="104">
        <f t="shared" si="3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/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sheet'!K20="","",'Data sheet'!K20)</f>
      </c>
      <c r="N23" s="53">
        <f t="shared" si="4"/>
      </c>
      <c r="O23" s="51">
        <f t="shared" si="2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5"/>
      </c>
      <c r="T23" s="103">
        <f t="shared" si="6"/>
      </c>
      <c r="U23" s="104">
        <f t="shared" si="3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/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sheet'!K21="","",'Data sheet'!K21)</f>
      </c>
      <c r="N24" s="53">
        <f t="shared" si="4"/>
      </c>
      <c r="O24" s="51">
        <f t="shared" si="2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5"/>
      </c>
      <c r="T24" s="103">
        <f t="shared" si="6"/>
      </c>
      <c r="U24" s="104">
        <f t="shared" si="3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/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sheet'!K22="","",'Data sheet'!K22)</f>
      </c>
      <c r="N25" s="53">
        <f t="shared" si="4"/>
      </c>
      <c r="O25" s="51">
        <f t="shared" si="2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5"/>
      </c>
      <c r="T25" s="103">
        <f t="shared" si="6"/>
      </c>
      <c r="U25" s="104">
        <f t="shared" si="3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/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sheet'!K23="","",'Data sheet'!K23)</f>
      </c>
      <c r="N26" s="53">
        <f t="shared" si="4"/>
      </c>
      <c r="O26" s="51">
        <f t="shared" si="2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5"/>
      </c>
      <c r="T26" s="103">
        <f t="shared" si="6"/>
      </c>
      <c r="U26" s="104">
        <f t="shared" si="3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/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sheet'!K24="","",'Data sheet'!K24)</f>
      </c>
      <c r="N27" s="53">
        <f t="shared" si="4"/>
      </c>
      <c r="O27" s="51">
        <f t="shared" si="2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5"/>
      </c>
      <c r="T27" s="103">
        <f t="shared" si="6"/>
      </c>
      <c r="U27" s="104">
        <f t="shared" si="3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/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sheet'!K25="","",'Data sheet'!K25)</f>
      </c>
      <c r="N28" s="53">
        <f t="shared" si="4"/>
      </c>
      <c r="O28" s="51">
        <f t="shared" si="2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5"/>
      </c>
      <c r="T28" s="103">
        <f t="shared" si="6"/>
      </c>
      <c r="U28" s="104">
        <f t="shared" si="3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/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sheet'!K26="","",'Data sheet'!K26)</f>
      </c>
      <c r="N29" s="53">
        <f t="shared" si="4"/>
      </c>
      <c r="O29" s="51">
        <f t="shared" si="2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5"/>
      </c>
      <c r="T29" s="103">
        <f t="shared" si="6"/>
      </c>
      <c r="U29" s="104">
        <f t="shared" si="3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/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sheet'!K27="","",'Data sheet'!K27)</f>
      </c>
      <c r="N30" s="53">
        <f t="shared" si="4"/>
      </c>
      <c r="O30" s="51">
        <f t="shared" si="2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5"/>
      </c>
      <c r="T30" s="103">
        <f t="shared" si="6"/>
      </c>
      <c r="U30" s="104">
        <f t="shared" si="3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10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J6:J31 O6:O30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2" right="0.22" top="0.37" bottom="0.22" header="0.18" footer="0.17"/>
  <pageSetup horizontalDpi="600" verticalDpi="600" orientation="landscape" paperSize="9"/>
  <headerFooter alignWithMargins="0">
    <oddHeader>&amp;C&amp;F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1">
    <pageSetUpPr fitToPage="1"/>
  </sheetPr>
  <dimension ref="B1:Y32"/>
  <sheetViews>
    <sheetView zoomScale="125" zoomScaleNormal="125" zoomScalePageLayoutView="0" workbookViewId="0" topLeftCell="A1">
      <selection activeCell="I19" sqref="I19"/>
    </sheetView>
  </sheetViews>
  <sheetFormatPr defaultColWidth="8.8515625" defaultRowHeight="12.75"/>
  <cols>
    <col min="1" max="1" width="0.42578125" style="23" customWidth="1"/>
    <col min="2" max="2" width="9.421875" style="23" customWidth="1"/>
    <col min="3" max="3" width="22.00390625" style="23" customWidth="1"/>
    <col min="4" max="4" width="2.8515625" style="23" bestFit="1" customWidth="1"/>
    <col min="5" max="5" width="1.421875" style="23" bestFit="1" customWidth="1"/>
    <col min="6" max="6" width="4.140625" style="23" bestFit="1" customWidth="1"/>
    <col min="7" max="7" width="1.421875" style="23" bestFit="1" customWidth="1"/>
    <col min="8" max="8" width="3.421875" style="23" bestFit="1" customWidth="1"/>
    <col min="9" max="9" width="10.8515625" style="23" customWidth="1"/>
    <col min="10" max="10" width="9.7109375" style="23" bestFit="1" customWidth="1"/>
    <col min="11" max="11" width="8.28125" style="23" bestFit="1" customWidth="1"/>
    <col min="12" max="12" width="1.28515625" style="23" customWidth="1"/>
    <col min="13" max="13" width="14.28125" style="23" bestFit="1" customWidth="1"/>
    <col min="14" max="14" width="14.00390625" style="23" customWidth="1"/>
    <col min="15" max="15" width="11.7109375" style="23" bestFit="1" customWidth="1"/>
    <col min="16" max="16" width="13.140625" style="23" customWidth="1"/>
    <col min="17" max="17" width="12.7109375" style="23" hidden="1" customWidth="1"/>
    <col min="18" max="18" width="9.00390625" style="23" hidden="1" customWidth="1"/>
    <col min="19" max="19" width="24.421875" style="23" hidden="1" customWidth="1"/>
    <col min="20" max="20" width="21.28125" style="23" hidden="1" customWidth="1"/>
    <col min="21" max="21" width="12.421875" style="23" customWidth="1"/>
    <col min="22" max="23" width="6.28125" style="61" bestFit="1" customWidth="1"/>
    <col min="24" max="24" width="6.140625" style="61" bestFit="1" customWidth="1"/>
    <col min="25" max="25" width="10.00390625" style="23" customWidth="1"/>
  </cols>
  <sheetData>
    <row r="1" spans="2:14" ht="18">
      <c r="B1" s="23" t="s">
        <v>139</v>
      </c>
      <c r="C1" s="81" t="s">
        <v>137</v>
      </c>
      <c r="M1" s="48" t="s">
        <v>138</v>
      </c>
      <c r="N1" s="73">
        <v>43111</v>
      </c>
    </row>
    <row r="2" ht="12.75"/>
    <row r="3" spans="2:15" ht="18" customHeight="1">
      <c r="B3" s="40" t="s">
        <v>4</v>
      </c>
      <c r="C3" s="41" t="s">
        <v>100</v>
      </c>
      <c r="D3" s="71">
        <v>2</v>
      </c>
      <c r="E3" s="42"/>
      <c r="F3" s="42"/>
      <c r="G3" s="42"/>
      <c r="H3" s="42"/>
      <c r="I3" s="43" t="s">
        <v>122</v>
      </c>
      <c r="J3" s="163" t="s">
        <v>111</v>
      </c>
      <c r="K3" s="164"/>
      <c r="N3" s="43" t="s">
        <v>123</v>
      </c>
      <c r="O3" s="72" t="s">
        <v>151</v>
      </c>
    </row>
    <row r="4" spans="3:23" ht="12.75" customHeight="1">
      <c r="C4" s="44"/>
      <c r="D4" s="45"/>
      <c r="E4" s="45"/>
      <c r="F4" s="45"/>
      <c r="G4" s="45"/>
      <c r="H4" s="46" t="s">
        <v>124</v>
      </c>
      <c r="I4" s="87">
        <v>0</v>
      </c>
      <c r="W4" s="62"/>
    </row>
    <row r="5" spans="2:24" ht="34.5" customHeight="1">
      <c r="B5" s="47" t="s">
        <v>63</v>
      </c>
      <c r="C5" s="40" t="s">
        <v>62</v>
      </c>
      <c r="D5" s="27" t="s">
        <v>101</v>
      </c>
      <c r="E5" s="27" t="s">
        <v>112</v>
      </c>
      <c r="F5" s="27" t="s">
        <v>102</v>
      </c>
      <c r="G5" s="27" t="s">
        <v>112</v>
      </c>
      <c r="H5" s="27" t="s">
        <v>97</v>
      </c>
      <c r="I5" s="47" t="s">
        <v>82</v>
      </c>
      <c r="J5" s="47" t="s">
        <v>64</v>
      </c>
      <c r="K5" s="47" t="s">
        <v>87</v>
      </c>
      <c r="L5" s="48"/>
      <c r="M5" s="48" t="s">
        <v>81</v>
      </c>
      <c r="N5" s="47" t="s">
        <v>93</v>
      </c>
      <c r="O5" s="47" t="s">
        <v>88</v>
      </c>
      <c r="P5" s="47" t="s">
        <v>89</v>
      </c>
      <c r="Q5" s="49"/>
      <c r="R5" s="69" t="s">
        <v>144</v>
      </c>
      <c r="S5" s="69" t="s">
        <v>154</v>
      </c>
      <c r="T5" s="69" t="s">
        <v>0</v>
      </c>
      <c r="U5" s="47" t="s">
        <v>96</v>
      </c>
      <c r="V5" s="47"/>
      <c r="W5" s="47"/>
      <c r="X5" s="47"/>
    </row>
    <row r="6" spans="2:25" ht="15">
      <c r="B6" s="36">
        <f>IF('Data sheet'!E3=0,"",'Data sheet'!E3)</f>
        <v>2222</v>
      </c>
      <c r="C6" s="38" t="str">
        <f>IF('Data sheet'!F3=0,"",'Data sheet'!F3)</f>
        <v>Planet Beer</v>
      </c>
      <c r="D6" s="11">
        <v>0</v>
      </c>
      <c r="E6" s="10" t="s">
        <v>112</v>
      </c>
      <c r="F6" s="12">
        <v>39</v>
      </c>
      <c r="G6" s="10" t="s">
        <v>112</v>
      </c>
      <c r="H6" s="12">
        <v>52</v>
      </c>
      <c r="I6" s="50">
        <f aca="true" t="shared" si="0" ref="I6:I30">IF(TIMEVALUE(D6&amp;":"&amp;F6&amp;":"&amp;H6)=0,"",TIMEVALUE(D6&amp;":"&amp;F6&amp;":"&amp;H6)-$I$4)</f>
        <v>0.027685185185185188</v>
      </c>
      <c r="J6" s="51">
        <f aca="true" t="shared" si="1" ref="J6:J30">IF(ISERROR(IF(I6="DNS","DNS",IF(I6="DNF","DNF",IF(I6="DSQ","DSQ",RANK(I6,I$6:I$30,1))))),"",IF(I6="DNS","DNS",IF(I6="DNF","DNF",IF(I6="DSQ","DSQ",RANK(I6,I$6:I$30,1)))))</f>
        <v>6</v>
      </c>
      <c r="K6" s="52">
        <f>IF(ISERROR(VLOOKUP(J6,'Data sheet'!$B$3:$C$32,2,FALSE)),"",IF(I6="DNF",$I$32,(VLOOKUP(J6,'Data sheet'!$B$3:$C$32,2,FALSE))))</f>
        <v>6</v>
      </c>
      <c r="L6" s="29"/>
      <c r="M6" s="93">
        <f>IF('Data sheet'!L3="","",'Data sheet'!L3)</f>
        <v>0.0013888888888888883</v>
      </c>
      <c r="N6" s="53">
        <f>IF(I6="","",IF($C$1="Handicap",I6,IF(I6="DNS","DNS",IF(I6="DNF","DNF",IF(I6="DSQ","DSQ",I6-M6)))))</f>
        <v>0.0262962962962963</v>
      </c>
      <c r="O6" s="51">
        <f>IF(I6="","",IF(N6="DNS","DNS",IF(N6="DNF","DNF",IF(N6="DSQ","DSQ",RANK(N6,N$6:N$30,1)))))</f>
        <v>9</v>
      </c>
      <c r="P6" s="52">
        <f>IF(O6="","",IF(O6="DNF",$I$32,VLOOKUP(O6,'Data sheet'!$B$3:$C$32,2,FALSE)))</f>
        <v>9</v>
      </c>
      <c r="R6" s="95">
        <f>IF(I6="","",IF(P6=1,M6+'Data sheet'!$G$30,IF(P6=2,M6+'Data sheet'!$G$31,IF(P6=3,M6+'Data sheet'!$G$32,IF(O6="DSQ",M6+'Data sheet'!$G$35,IF(O6="DNS",M6+'Data sheet'!$G$35,IF(O6="DNF",M6+'Data sheet'!$G$34,M6+'Data sheet'!$G$33)))))))</f>
        <v>0.0034722222222222216</v>
      </c>
      <c r="S6" s="101">
        <f>R6</f>
        <v>0.0034722222222222216</v>
      </c>
      <c r="T6" s="103">
        <f>IF(R6="","",S6-S$32)</f>
        <v>0.0013888888888888883</v>
      </c>
      <c r="U6" s="104">
        <f aca="true" t="shared" si="2" ref="U6:U30">IF(T6=0,0,IF(O6="DNS",M6,IF(O6="DSQ",M6,T6)))</f>
        <v>0.0013888888888888883</v>
      </c>
      <c r="V6" s="63"/>
      <c r="W6" s="63"/>
      <c r="X6" s="63"/>
      <c r="Y6" s="64"/>
    </row>
    <row r="7" spans="2:25" ht="15">
      <c r="B7" s="36">
        <f>IF('Data sheet'!E4=0,"",'Data sheet'!E4)</f>
        <v>2228</v>
      </c>
      <c r="C7" s="38" t="str">
        <f>IF('Data sheet'!F4=0,"",'Data sheet'!F4)</f>
        <v>SFC Computers</v>
      </c>
      <c r="D7" s="11">
        <v>0</v>
      </c>
      <c r="E7" s="10" t="s">
        <v>112</v>
      </c>
      <c r="F7" s="12">
        <v>37</v>
      </c>
      <c r="G7" s="10" t="s">
        <v>112</v>
      </c>
      <c r="H7" s="12">
        <v>10</v>
      </c>
      <c r="I7" s="50">
        <f t="shared" si="0"/>
        <v>0.025810185185185183</v>
      </c>
      <c r="J7" s="51">
        <f t="shared" si="1"/>
        <v>3</v>
      </c>
      <c r="K7" s="52">
        <f>IF(ISERROR(VLOOKUP(J7,'Data sheet'!$B$3:$C$32,2,FALSE)),"",IF(I7="DNF",$I$32,(VLOOKUP(J7,'Data sheet'!$B$3:$C$32,2,FALSE))))</f>
        <v>3</v>
      </c>
      <c r="L7" s="29"/>
      <c r="M7" s="93">
        <f>IF('Data sheet'!L4="","",'Data sheet'!L4)</f>
        <v>0.0020833333333333324</v>
      </c>
      <c r="N7" s="53">
        <f aca="true" t="shared" si="3" ref="N7:N30">IF(I7="","",IF($C$1="Handicap",I7,IF(I7="DNS","DNS",IF(I7="DNF","DNF",IF(I7="DSQ","DSQ",I7-M7)))))</f>
        <v>0.02372685185185185</v>
      </c>
      <c r="O7" s="51">
        <f aca="true" t="shared" si="4" ref="O7:O30">IF(I7="","",IF(N7="DNS","DNS",IF(N7="DNF","DNF",IF(N7="DSQ","DSQ",RANK(N7,N$6:N$30,1)))))</f>
        <v>2</v>
      </c>
      <c r="P7" s="52">
        <f>IF(O7="","",IF(O7="DNF",$I$32,VLOOKUP(O7,'Data sheet'!$B$3:$C$32,2,FALSE)))</f>
        <v>2</v>
      </c>
      <c r="R7" s="95">
        <f>IF(I7="","",IF(P7=1,M7+'Data sheet'!$G$30,IF(P7=2,M7+'Data sheet'!$G$31,IF(P7=3,M7+'Data sheet'!$G$32,IF(O7="DSQ",M7+'Data sheet'!$G$35,IF(O7="DNS",M7+'Data sheet'!$G$35,IF(O7="DNF",M7+'Data sheet'!$G$34,M7+'Data sheet'!$G$33)))))))</f>
        <v>0.002777777777777777</v>
      </c>
      <c r="S7" s="101">
        <f aca="true" t="shared" si="5" ref="S7:S30">R7</f>
        <v>0.002777777777777777</v>
      </c>
      <c r="T7" s="103">
        <f aca="true" t="shared" si="6" ref="T7:T30">IF(R7="","",S7-S$32)</f>
        <v>0.0006944444444444437</v>
      </c>
      <c r="U7" s="104">
        <f t="shared" si="2"/>
        <v>0.0006944444444444437</v>
      </c>
      <c r="V7" s="63"/>
      <c r="W7" s="63"/>
      <c r="X7" s="63"/>
      <c r="Y7" s="91"/>
    </row>
    <row r="8" spans="2:25" ht="15">
      <c r="B8" s="36">
        <f>IF('Data sheet'!E5=0,"",'Data sheet'!E5)</f>
        <v>2229</v>
      </c>
      <c r="C8" s="38" t="str">
        <f>IF('Data sheet'!F5=0,"",'Data sheet'!F5)</f>
        <v>Devocean</v>
      </c>
      <c r="D8" s="11">
        <v>0</v>
      </c>
      <c r="E8" s="10" t="s">
        <v>112</v>
      </c>
      <c r="F8" s="12">
        <v>48</v>
      </c>
      <c r="G8" s="10" t="s">
        <v>112</v>
      </c>
      <c r="H8" s="12">
        <v>2</v>
      </c>
      <c r="I8" s="50">
        <f t="shared" si="0"/>
        <v>0.03335648148148148</v>
      </c>
      <c r="J8" s="51">
        <f t="shared" si="1"/>
        <v>9</v>
      </c>
      <c r="K8" s="52">
        <f>IF(ISERROR(VLOOKUP(J8,'Data sheet'!$B$3:$C$32,2,FALSE)),"",IF(I8="DNF",$I$32,(VLOOKUP(J8,'Data sheet'!$B$3:$C$32,2,FALSE))))</f>
        <v>9</v>
      </c>
      <c r="L8" s="29"/>
      <c r="M8" s="93">
        <f>IF('Data sheet'!L5="","",'Data sheet'!L5)</f>
        <v>0.0076388888888888895</v>
      </c>
      <c r="N8" s="53">
        <f t="shared" si="3"/>
        <v>0.02571759259259259</v>
      </c>
      <c r="O8" s="51">
        <f t="shared" si="4"/>
        <v>7</v>
      </c>
      <c r="P8" s="52">
        <f>IF(O8="","",IF(O8="DNF",$I$32,VLOOKUP(O8,'Data sheet'!$B$3:$C$32,2,FALSE)))</f>
        <v>7</v>
      </c>
      <c r="R8" s="95">
        <f>IF(I8="","",IF(P8=1,M8+'Data sheet'!$G$30,IF(P8=2,M8+'Data sheet'!$G$31,IF(P8=3,M8+'Data sheet'!$G$32,IF(O8="DSQ",M8+'Data sheet'!$G$35,IF(O8="DNS",M8+'Data sheet'!$G$35,IF(O8="DNF",M8+'Data sheet'!$G$34,M8+'Data sheet'!$G$33)))))))</f>
        <v>0.009722222222222222</v>
      </c>
      <c r="S8" s="101">
        <f t="shared" si="5"/>
        <v>0.009722222222222222</v>
      </c>
      <c r="T8" s="103">
        <f t="shared" si="6"/>
        <v>0.0076388888888888895</v>
      </c>
      <c r="U8" s="104">
        <f t="shared" si="2"/>
        <v>0.0076388888888888895</v>
      </c>
      <c r="V8" s="63"/>
      <c r="W8" s="63"/>
      <c r="X8" s="63"/>
      <c r="Y8" s="91"/>
    </row>
    <row r="9" spans="2:25" ht="15">
      <c r="B9" s="36">
        <f>IF('Data sheet'!E6=0,"",'Data sheet'!E6)</f>
        <v>2230</v>
      </c>
      <c r="C9" s="38" t="str">
        <f>IF('Data sheet'!F6=0,"",'Data sheet'!F6)</f>
        <v>Raptor</v>
      </c>
      <c r="D9" s="11">
        <v>0</v>
      </c>
      <c r="E9" s="10" t="s">
        <v>112</v>
      </c>
      <c r="F9" s="12">
        <v>40</v>
      </c>
      <c r="G9" s="10" t="s">
        <v>112</v>
      </c>
      <c r="H9" s="12">
        <v>30</v>
      </c>
      <c r="I9" s="50">
        <f t="shared" si="0"/>
        <v>0.028125</v>
      </c>
      <c r="J9" s="51">
        <f t="shared" si="1"/>
        <v>8</v>
      </c>
      <c r="K9" s="52">
        <f>IF(ISERROR(VLOOKUP(J9,'Data sheet'!$B$3:$C$32,2,FALSE)),"",IF(I9="DNF",$I$32,(VLOOKUP(J9,'Data sheet'!$B$3:$C$32,2,FALSE))))</f>
        <v>8</v>
      </c>
      <c r="L9" s="29"/>
      <c r="M9" s="93">
        <f>IF('Data sheet'!L6="","",'Data sheet'!L6)</f>
        <v>0.0027777777777777788</v>
      </c>
      <c r="N9" s="53">
        <f t="shared" si="3"/>
        <v>0.025347222222222222</v>
      </c>
      <c r="O9" s="51">
        <f t="shared" si="4"/>
        <v>5</v>
      </c>
      <c r="P9" s="52">
        <f>IF(O9="","",IF(O9="DNF",$I$32,VLOOKUP(O9,'Data sheet'!$B$3:$C$32,2,FALSE)))</f>
        <v>5</v>
      </c>
      <c r="R9" s="95">
        <f>IF(I9="","",IF(P9=1,M9+'Data sheet'!$G$30,IF(P9=2,M9+'Data sheet'!$G$31,IF(P9=3,M9+'Data sheet'!$G$32,IF(O9="DSQ",M9+'Data sheet'!$G$35,IF(O9="DNS",M9+'Data sheet'!$G$35,IF(O9="DNF",M9+'Data sheet'!$G$34,M9+'Data sheet'!$G$33)))))))</f>
        <v>0.004861111111111112</v>
      </c>
      <c r="S9" s="101">
        <f t="shared" si="5"/>
        <v>0.004861111111111112</v>
      </c>
      <c r="T9" s="103">
        <f t="shared" si="6"/>
        <v>0.0027777777777777788</v>
      </c>
      <c r="U9" s="104">
        <f t="shared" si="2"/>
        <v>0.0027777777777777788</v>
      </c>
      <c r="V9" s="63"/>
      <c r="W9" s="63"/>
      <c r="X9" s="63"/>
      <c r="Y9" s="64"/>
    </row>
    <row r="10" spans="2:25" ht="15">
      <c r="B10" s="36">
        <f>IF('Data sheet'!E7=0,"",'Data sheet'!E7)</f>
        <v>2234</v>
      </c>
      <c r="C10" s="38" t="str">
        <f>IF('Data sheet'!F7=0,"",'Data sheet'!F7)</f>
        <v>Meeks Real Estate</v>
      </c>
      <c r="D10" s="11">
        <v>0</v>
      </c>
      <c r="E10" s="10" t="s">
        <v>112</v>
      </c>
      <c r="F10" s="12">
        <v>36</v>
      </c>
      <c r="G10" s="10" t="s">
        <v>112</v>
      </c>
      <c r="H10" s="12">
        <v>40</v>
      </c>
      <c r="I10" s="50">
        <f t="shared" si="0"/>
        <v>0.02546296296296296</v>
      </c>
      <c r="J10" s="51">
        <f t="shared" si="1"/>
        <v>1</v>
      </c>
      <c r="K10" s="52">
        <f>IF(ISERROR(VLOOKUP(J10,'Data sheet'!$B$3:$C$32,2,FALSE)),"",IF(I10="DNF",$I$32,(VLOOKUP(J10,'Data sheet'!$B$3:$C$32,2,FALSE))))</f>
        <v>1</v>
      </c>
      <c r="L10" s="29"/>
      <c r="M10" s="93">
        <f>IF('Data sheet'!L7="","",'Data sheet'!L7)</f>
        <v>0.0006944444444444446</v>
      </c>
      <c r="N10" s="53">
        <f t="shared" si="3"/>
        <v>0.024768518518518516</v>
      </c>
      <c r="O10" s="51">
        <f t="shared" si="4"/>
        <v>3</v>
      </c>
      <c r="P10" s="52">
        <f>IF(O10="","",IF(O10="DNF",$I$32,VLOOKUP(O10,'Data sheet'!$B$3:$C$32,2,FALSE)))</f>
        <v>3</v>
      </c>
      <c r="R10" s="95">
        <f>IF(I10="","",IF(P10=1,M10+'Data sheet'!$G$30,IF(P10=2,M10+'Data sheet'!$G$31,IF(P10=3,M10+'Data sheet'!$G$32,IF(O10="DSQ",M10+'Data sheet'!$G$35,IF(O10="DNS",M10+'Data sheet'!$G$35,IF(O10="DNF",M10+'Data sheet'!$G$34,M10+'Data sheet'!$G$33)))))))</f>
        <v>0.0020833333333333337</v>
      </c>
      <c r="S10" s="101">
        <f t="shared" si="5"/>
        <v>0.0020833333333333337</v>
      </c>
      <c r="T10" s="103">
        <f t="shared" si="6"/>
        <v>4.336808689942018E-19</v>
      </c>
      <c r="U10" s="104">
        <f t="shared" si="2"/>
        <v>4.336808689942018E-19</v>
      </c>
      <c r="V10" s="63"/>
      <c r="W10" s="63"/>
      <c r="X10" s="63"/>
      <c r="Y10" s="64"/>
    </row>
    <row r="11" spans="2:25" ht="15">
      <c r="B11" s="36">
        <f>IF('Data sheet'!E8=0,"",'Data sheet'!E8)</f>
        <v>2235</v>
      </c>
      <c r="C11" s="38" t="str">
        <f>IF('Data sheet'!F8=0,"",'Data sheet'!F8)</f>
        <v>Black Diamond</v>
      </c>
      <c r="D11" s="11">
        <v>0</v>
      </c>
      <c r="E11" s="10" t="s">
        <v>112</v>
      </c>
      <c r="F11" s="12">
        <v>40</v>
      </c>
      <c r="G11" s="10" t="s">
        <v>112</v>
      </c>
      <c r="H11" s="12">
        <v>4</v>
      </c>
      <c r="I11" s="50">
        <f t="shared" si="0"/>
        <v>0.027824074074074074</v>
      </c>
      <c r="J11" s="51">
        <f t="shared" si="1"/>
        <v>7</v>
      </c>
      <c r="K11" s="52">
        <f>IF(ISERROR(VLOOKUP(J11,'Data sheet'!$B$3:$C$32,2,FALSE)),"",IF(I11="DNF",$I$32,(VLOOKUP(J11,'Data sheet'!$B$3:$C$32,2,FALSE))))</f>
        <v>7</v>
      </c>
      <c r="L11" s="29"/>
      <c r="M11" s="93">
        <f>IF('Data sheet'!L8="","",'Data sheet'!L8)</f>
        <v>0.002083333333333334</v>
      </c>
      <c r="N11" s="53">
        <f t="shared" si="3"/>
        <v>0.02574074074074074</v>
      </c>
      <c r="O11" s="51">
        <f t="shared" si="4"/>
        <v>8</v>
      </c>
      <c r="P11" s="52">
        <f>IF(O11="","",IF(O11="DNF",$I$32,VLOOKUP(O11,'Data sheet'!$B$3:$C$32,2,FALSE)))</f>
        <v>8</v>
      </c>
      <c r="R11" s="95">
        <f>IF(I11="","",IF(P11=1,M11+'Data sheet'!$G$30,IF(P11=2,M11+'Data sheet'!$G$31,IF(P11=3,M11+'Data sheet'!$G$32,IF(O11="DSQ",M11+'Data sheet'!$G$35,IF(O11="DNS",M11+'Data sheet'!$G$35,IF(O11="DNF",M11+'Data sheet'!$G$34,M11+'Data sheet'!$G$33)))))))</f>
        <v>0.0041666666666666675</v>
      </c>
      <c r="S11" s="101">
        <f t="shared" si="5"/>
        <v>0.0041666666666666675</v>
      </c>
      <c r="T11" s="103">
        <f t="shared" si="6"/>
        <v>0.002083333333333334</v>
      </c>
      <c r="U11" s="104">
        <f t="shared" si="2"/>
        <v>0.002083333333333334</v>
      </c>
      <c r="V11" s="63"/>
      <c r="W11" s="63"/>
      <c r="X11" s="63"/>
      <c r="Y11" s="64"/>
    </row>
    <row r="12" spans="2:25" ht="15">
      <c r="B12" s="36">
        <f>IF('Data sheet'!E9=0,"",'Data sheet'!E9)</f>
        <v>2236</v>
      </c>
      <c r="C12" s="38" t="str">
        <f>IF('Data sheet'!F9=0,"",'Data sheet'!F9)</f>
        <v>Troy Botting Shipwright</v>
      </c>
      <c r="D12" s="11">
        <v>0</v>
      </c>
      <c r="E12" s="10" t="s">
        <v>112</v>
      </c>
      <c r="F12" s="12">
        <v>37</v>
      </c>
      <c r="G12" s="10" t="s">
        <v>112</v>
      </c>
      <c r="H12" s="12">
        <v>28</v>
      </c>
      <c r="I12" s="50">
        <f t="shared" si="0"/>
        <v>0.02601851851851852</v>
      </c>
      <c r="J12" s="51">
        <f t="shared" si="1"/>
        <v>4</v>
      </c>
      <c r="K12" s="52">
        <f>IF(ISERROR(VLOOKUP(J12,'Data sheet'!$B$3:$C$32,2,FALSE)),"",IF(I12="DNF",$I$32,(VLOOKUP(J12,'Data sheet'!$B$3:$C$32,2,FALSE))))</f>
        <v>4</v>
      </c>
      <c r="L12" s="29"/>
      <c r="M12" s="93">
        <f>IF('Data sheet'!L9="","",'Data sheet'!L9)</f>
        <v>0.0006944444444444446</v>
      </c>
      <c r="N12" s="53">
        <f t="shared" si="3"/>
        <v>0.025324074074074075</v>
      </c>
      <c r="O12" s="51">
        <f t="shared" si="4"/>
        <v>4</v>
      </c>
      <c r="P12" s="52">
        <f>IF(O12="","",IF(O12="DNF",$I$32,VLOOKUP(O12,'Data sheet'!$B$3:$C$32,2,FALSE)))</f>
        <v>4</v>
      </c>
      <c r="R12" s="95">
        <f>IF(I12="","",IF(P12=1,M12+'Data sheet'!$G$30,IF(P12=2,M12+'Data sheet'!$G$31,IF(P12=3,M12+'Data sheet'!$G$32,IF(O12="DSQ",M12+'Data sheet'!$G$35,IF(O12="DNS",M12+'Data sheet'!$G$35,IF(O12="DNF",M12+'Data sheet'!$G$34,M12+'Data sheet'!$G$33)))))))</f>
        <v>0.002777777777777778</v>
      </c>
      <c r="S12" s="101">
        <f t="shared" si="5"/>
        <v>0.002777777777777778</v>
      </c>
      <c r="T12" s="103">
        <f t="shared" si="6"/>
        <v>0.0006944444444444446</v>
      </c>
      <c r="U12" s="104">
        <f t="shared" si="2"/>
        <v>0.0006944444444444446</v>
      </c>
      <c r="V12" s="63"/>
      <c r="W12" s="63"/>
      <c r="X12" s="63"/>
      <c r="Y12" s="64"/>
    </row>
    <row r="13" spans="2:25" ht="15">
      <c r="B13" s="36">
        <f>IF('Data sheet'!E10=0,"",'Data sheet'!E10)</f>
        <v>2237</v>
      </c>
      <c r="C13" s="38" t="str">
        <f>IF('Data sheet'!F10=0,"",'Data sheet'!F10)</f>
        <v>Stowe</v>
      </c>
      <c r="D13" s="11">
        <v>0</v>
      </c>
      <c r="E13" s="10" t="s">
        <v>112</v>
      </c>
      <c r="F13" s="12">
        <v>38</v>
      </c>
      <c r="G13" s="10" t="s">
        <v>112</v>
      </c>
      <c r="H13" s="12">
        <v>33</v>
      </c>
      <c r="I13" s="50">
        <f t="shared" si="0"/>
        <v>0.02677083333333333</v>
      </c>
      <c r="J13" s="51">
        <f t="shared" si="1"/>
        <v>5</v>
      </c>
      <c r="K13" s="52">
        <f>IF(ISERROR(VLOOKUP(J13,'Data sheet'!$B$3:$C$32,2,FALSE)),"",IF(I13="DNF",$I$32,(VLOOKUP(J13,'Data sheet'!$B$3:$C$32,2,FALSE))))</f>
        <v>5</v>
      </c>
      <c r="L13" s="29"/>
      <c r="M13" s="93">
        <f>IF('Data sheet'!L10="","",'Data sheet'!L10)</f>
        <v>0.004166666666666669</v>
      </c>
      <c r="N13" s="53">
        <f t="shared" si="3"/>
        <v>0.02260416666666666</v>
      </c>
      <c r="O13" s="51">
        <f t="shared" si="4"/>
        <v>1</v>
      </c>
      <c r="P13" s="52">
        <f>IF(O13="","",IF(O13="DNF",$I$32,VLOOKUP(O13,'Data sheet'!$B$3:$C$32,2,FALSE)))</f>
        <v>1</v>
      </c>
      <c r="R13" s="95">
        <f>IF(I13="","",IF(P13=1,M13+'Data sheet'!$G$30,IF(P13=2,M13+'Data sheet'!$G$31,IF(P13=3,M13+'Data sheet'!$G$32,IF(O13="DSQ",M13+'Data sheet'!$G$35,IF(O13="DNS",M13+'Data sheet'!$G$35,IF(O13="DNF",M13+'Data sheet'!$G$34,M13+'Data sheet'!$G$33)))))))</f>
        <v>0.004166666666666669</v>
      </c>
      <c r="S13" s="101">
        <f t="shared" si="5"/>
        <v>0.004166666666666669</v>
      </c>
      <c r="T13" s="103">
        <f t="shared" si="6"/>
        <v>0.002083333333333336</v>
      </c>
      <c r="U13" s="104">
        <f t="shared" si="2"/>
        <v>0.002083333333333336</v>
      </c>
      <c r="V13" s="63"/>
      <c r="W13" s="63"/>
      <c r="X13" s="63"/>
      <c r="Y13" s="64"/>
    </row>
    <row r="14" spans="2:25" ht="15">
      <c r="B14" s="36">
        <f>IF('Data sheet'!E11=0,"",'Data sheet'!E11)</f>
        <v>2240</v>
      </c>
      <c r="C14" s="38" t="str">
        <f>IF('Data sheet'!F11=0,"",'Data sheet'!F11)</f>
        <v>Narwahl</v>
      </c>
      <c r="D14" s="11">
        <v>0</v>
      </c>
      <c r="E14" s="10" t="s">
        <v>112</v>
      </c>
      <c r="F14" s="12">
        <v>0</v>
      </c>
      <c r="G14" s="10" t="s">
        <v>112</v>
      </c>
      <c r="H14" s="12">
        <v>0</v>
      </c>
      <c r="I14" s="50" t="s">
        <v>24</v>
      </c>
      <c r="J14" s="51" t="str">
        <f t="shared" si="1"/>
        <v>DNS</v>
      </c>
      <c r="K14" s="52">
        <f>IF(ISERROR(VLOOKUP(J14,'Data sheet'!$B$3:$C$32,2,FALSE)),"",IF(I14="DNF",$I$32,(VLOOKUP(J14,'Data sheet'!$B$3:$C$32,2,FALSE))))</f>
        <v>11</v>
      </c>
      <c r="L14" s="29"/>
      <c r="M14" s="93">
        <f>IF('Data sheet'!L11="","",'Data sheet'!L11)</f>
        <v>0.0041666666666666675</v>
      </c>
      <c r="N14" s="53" t="str">
        <f t="shared" si="3"/>
        <v>DNS</v>
      </c>
      <c r="O14" s="51" t="str">
        <f t="shared" si="4"/>
        <v>DNS</v>
      </c>
      <c r="P14" s="52">
        <f>IF(O14="","",IF(O14="DNF",$I$32,VLOOKUP(O14,'Data sheet'!$B$3:$C$32,2,FALSE)))</f>
        <v>11</v>
      </c>
      <c r="R14" s="95">
        <f>IF(I14="","",IF(P14=1,M14+'Data sheet'!$G$30,IF(P14=2,M14+'Data sheet'!$G$31,IF(P14=3,M14+'Data sheet'!$G$32,IF(O14="DSQ",M14+'Data sheet'!$G$35,IF(O14="DNS",M14+'Data sheet'!$G$35,IF(O14="DNF",M14+'Data sheet'!$G$34,M14+'Data sheet'!$G$33)))))))</f>
        <v>0.00625</v>
      </c>
      <c r="S14" s="101">
        <f t="shared" si="5"/>
        <v>0.00625</v>
      </c>
      <c r="T14" s="103">
        <f t="shared" si="6"/>
        <v>0.0041666666666666675</v>
      </c>
      <c r="U14" s="104">
        <f t="shared" si="2"/>
        <v>0.0041666666666666675</v>
      </c>
      <c r="V14" s="63"/>
      <c r="W14" s="63"/>
      <c r="X14" s="63"/>
      <c r="Y14" s="64"/>
    </row>
    <row r="15" spans="2:25" ht="15">
      <c r="B15" s="36">
        <f>IF('Data sheet'!E12=0,"",'Data sheet'!E12)</f>
        <v>2242</v>
      </c>
      <c r="C15" s="38" t="str">
        <f>IF('Data sheet'!F12=0,"",'Data sheet'!F12)</f>
        <v>Firestorm</v>
      </c>
      <c r="D15" s="11">
        <v>0</v>
      </c>
      <c r="E15" s="10" t="s">
        <v>112</v>
      </c>
      <c r="F15" s="12">
        <v>36</v>
      </c>
      <c r="G15" s="10" t="s">
        <v>112</v>
      </c>
      <c r="H15" s="12">
        <v>42</v>
      </c>
      <c r="I15" s="50">
        <f t="shared" si="0"/>
        <v>0.025486111111111112</v>
      </c>
      <c r="J15" s="51">
        <f t="shared" si="1"/>
        <v>2</v>
      </c>
      <c r="K15" s="52">
        <f>IF(ISERROR(VLOOKUP(J15,'Data sheet'!$B$3:$C$32,2,FALSE)),"",IF(I15="DNF",$I$32,(VLOOKUP(J15,'Data sheet'!$B$3:$C$32,2,FALSE))))</f>
        <v>2</v>
      </c>
      <c r="L15" s="29"/>
      <c r="M15" s="93">
        <f>IF('Data sheet'!L12="","",'Data sheet'!L12)</f>
        <v>0</v>
      </c>
      <c r="N15" s="53">
        <f t="shared" si="3"/>
        <v>0.025486111111111112</v>
      </c>
      <c r="O15" s="51">
        <f t="shared" si="4"/>
        <v>6</v>
      </c>
      <c r="P15" s="52">
        <f>IF(O15="","",IF(O15="DNF",$I$32,VLOOKUP(O15,'Data sheet'!$B$3:$C$32,2,FALSE)))</f>
        <v>6</v>
      </c>
      <c r="R15" s="95">
        <f>IF(I15="","",IF(P15=1,M15+'Data sheet'!$G$30,IF(P15=2,M15+'Data sheet'!$G$31,IF(P15=3,M15+'Data sheet'!$G$32,IF(O15="DSQ",M15+'Data sheet'!$G$35,IF(O15="DNS",M15+'Data sheet'!$G$35,IF(O15="DNF",M15+'Data sheet'!$G$34,M15+'Data sheet'!$G$33)))))))</f>
        <v>0.0020833333333333333</v>
      </c>
      <c r="S15" s="101">
        <f t="shared" si="5"/>
        <v>0.0020833333333333333</v>
      </c>
      <c r="T15" s="103">
        <f t="shared" si="6"/>
        <v>0</v>
      </c>
      <c r="U15" s="104">
        <f t="shared" si="2"/>
        <v>0</v>
      </c>
      <c r="V15" s="63"/>
      <c r="W15" s="63"/>
      <c r="X15" s="63"/>
      <c r="Y15" s="64"/>
    </row>
    <row r="16" spans="2:25" ht="15">
      <c r="B16" s="36">
        <f>IF('Data sheet'!E13=0,"",'Data sheet'!E13)</f>
      </c>
      <c r="C16" s="38">
        <f>IF('Data sheet'!F13=0,"",'Data sheet'!F13)</f>
      </c>
      <c r="D16" s="11">
        <v>0</v>
      </c>
      <c r="E16" s="10" t="s">
        <v>112</v>
      </c>
      <c r="F16" s="12">
        <v>0</v>
      </c>
      <c r="G16" s="10" t="s">
        <v>112</v>
      </c>
      <c r="H16" s="12">
        <v>0</v>
      </c>
      <c r="I16" s="50">
        <f t="shared" si="0"/>
      </c>
      <c r="J16" s="51">
        <f t="shared" si="1"/>
      </c>
      <c r="K16" s="52">
        <f>IF(ISERROR(VLOOKUP(J16,'Data sheet'!$B$3:$C$32,2,FALSE)),"",IF(I16="DNF",$I$32,(VLOOKUP(J16,'Data sheet'!$B$3:$C$32,2,FALSE))))</f>
      </c>
      <c r="L16" s="29"/>
      <c r="M16" s="93">
        <f>IF('Data sheet'!L13="","",'Data sheet'!L13)</f>
      </c>
      <c r="N16" s="53">
        <f t="shared" si="3"/>
      </c>
      <c r="O16" s="51">
        <f t="shared" si="4"/>
      </c>
      <c r="P16" s="52">
        <f>IF(O16="","",IF(O16="DNF",$I$32,VLOOKUP(O16,'Data sheet'!$B$3:$C$32,2,FALSE)))</f>
      </c>
      <c r="R16" s="95">
        <f>IF(I16="","",IF(P16=1,M16+'Data sheet'!$G$30,IF(P16=2,M16+'Data sheet'!$G$31,IF(P16=3,M16+'Data sheet'!$G$32,IF(O16="DSQ",M16+'Data sheet'!$G$35,IF(O16="DNS",M16+'Data sheet'!$G$35,IF(O16="DNF",M16+'Data sheet'!$G$34,M16+'Data sheet'!$G$33)))))))</f>
      </c>
      <c r="S16" s="101">
        <f t="shared" si="5"/>
      </c>
      <c r="T16" s="103">
        <f t="shared" si="6"/>
      </c>
      <c r="U16" s="104">
        <f t="shared" si="2"/>
      </c>
      <c r="V16" s="63"/>
      <c r="W16" s="63"/>
      <c r="X16" s="63"/>
      <c r="Y16" s="64"/>
    </row>
    <row r="17" spans="2:25" ht="15">
      <c r="B17" s="36">
        <f>IF('Data sheet'!E14=0,"",'Data sheet'!E14)</f>
      </c>
      <c r="C17" s="38">
        <f>IF('Data sheet'!F14=0,"",'Data sheet'!F14)</f>
      </c>
      <c r="D17" s="11">
        <v>0</v>
      </c>
      <c r="E17" s="10" t="s">
        <v>112</v>
      </c>
      <c r="F17" s="12">
        <v>0</v>
      </c>
      <c r="G17" s="10" t="s">
        <v>112</v>
      </c>
      <c r="H17" s="12">
        <v>0</v>
      </c>
      <c r="I17" s="50">
        <f t="shared" si="0"/>
      </c>
      <c r="J17" s="51">
        <f t="shared" si="1"/>
      </c>
      <c r="K17" s="52">
        <f>IF(ISERROR(VLOOKUP(J17,'Data sheet'!$B$3:$C$32,2,FALSE)),"",IF(I17="DNF",$I$32,(VLOOKUP(J17,'Data sheet'!$B$3:$C$32,2,FALSE))))</f>
      </c>
      <c r="L17" s="29"/>
      <c r="M17" s="93">
        <f>IF('Data sheet'!L14="","",'Data sheet'!L14)</f>
      </c>
      <c r="N17" s="53">
        <f t="shared" si="3"/>
      </c>
      <c r="O17" s="51">
        <f t="shared" si="4"/>
      </c>
      <c r="P17" s="52">
        <f>IF(O17="","",IF(O17="DNF",$I$32,VLOOKUP(O17,'Data sheet'!$B$3:$C$32,2,FALSE)))</f>
      </c>
      <c r="R17" s="95">
        <f>IF(I17="","",IF(P17=1,M17+'Data sheet'!$G$30,IF(P17=2,M17+'Data sheet'!$G$31,IF(P17=3,M17+'Data sheet'!$G$32,IF(O17="DSQ",M17+'Data sheet'!$G$35,IF(O17="DNS",M17+'Data sheet'!$G$35,IF(O17="DNF",M17+'Data sheet'!$G$34,M17+'Data sheet'!$G$33)))))))</f>
      </c>
      <c r="S17" s="101">
        <f t="shared" si="5"/>
      </c>
      <c r="T17" s="103">
        <f t="shared" si="6"/>
      </c>
      <c r="U17" s="104">
        <f t="shared" si="2"/>
      </c>
      <c r="V17" s="63"/>
      <c r="W17" s="63"/>
      <c r="X17" s="63"/>
      <c r="Y17" s="64"/>
    </row>
    <row r="18" spans="2:25" ht="15">
      <c r="B18" s="36">
        <f>IF('Data sheet'!E15=0,"",'Data sheet'!E15)</f>
      </c>
      <c r="C18" s="38">
        <f>IF('Data sheet'!F15=0,"",'Data sheet'!F15)</f>
      </c>
      <c r="D18" s="11">
        <v>0</v>
      </c>
      <c r="E18" s="10" t="s">
        <v>112</v>
      </c>
      <c r="F18" s="12">
        <v>0</v>
      </c>
      <c r="G18" s="10" t="s">
        <v>112</v>
      </c>
      <c r="H18" s="12">
        <v>0</v>
      </c>
      <c r="I18" s="50">
        <f t="shared" si="0"/>
      </c>
      <c r="J18" s="51">
        <f t="shared" si="1"/>
      </c>
      <c r="K18" s="52">
        <f>IF(ISERROR(VLOOKUP(J18,'Data sheet'!$B$3:$C$32,2,FALSE)),"",IF(I18="DNF",$I$32,(VLOOKUP(J18,'Data sheet'!$B$3:$C$32,2,FALSE))))</f>
      </c>
      <c r="L18" s="29"/>
      <c r="M18" s="93">
        <f>IF('Data sheet'!L15="","",'Data sheet'!L15)</f>
      </c>
      <c r="N18" s="53">
        <f t="shared" si="3"/>
      </c>
      <c r="O18" s="51">
        <f t="shared" si="4"/>
      </c>
      <c r="P18" s="52">
        <f>IF(O18="","",IF(O18="DNF",$I$32,VLOOKUP(O18,'Data sheet'!$B$3:$C$32,2,FALSE)))</f>
      </c>
      <c r="R18" s="95">
        <f>IF(I18="","",IF(P18=1,M18+'Data sheet'!$G$30,IF(P18=2,M18+'Data sheet'!$G$31,IF(P18=3,M18+'Data sheet'!$G$32,IF(O18="DSQ",M18+'Data sheet'!$G$35,IF(O18="DNS",M18+'Data sheet'!$G$35,IF(O18="DNF",M18+'Data sheet'!$G$34,M18+'Data sheet'!$G$33)))))))</f>
      </c>
      <c r="S18" s="101">
        <f t="shared" si="5"/>
      </c>
      <c r="T18" s="103">
        <f t="shared" si="6"/>
      </c>
      <c r="U18" s="104">
        <f t="shared" si="2"/>
      </c>
      <c r="V18" s="63"/>
      <c r="W18" s="63"/>
      <c r="X18" s="63"/>
      <c r="Y18" s="64"/>
    </row>
    <row r="19" spans="2:25" ht="15">
      <c r="B19" s="36">
        <f>IF('Data sheet'!E16=0,"",'Data sheet'!E16)</f>
      </c>
      <c r="C19" s="38">
        <f>IF('Data sheet'!F16=0,"",'Data sheet'!F16)</f>
      </c>
      <c r="D19" s="11">
        <v>0</v>
      </c>
      <c r="E19" s="10" t="s">
        <v>112</v>
      </c>
      <c r="F19" s="12">
        <v>0</v>
      </c>
      <c r="G19" s="10" t="s">
        <v>112</v>
      </c>
      <c r="H19" s="12">
        <v>0</v>
      </c>
      <c r="I19" s="50">
        <f t="shared" si="0"/>
      </c>
      <c r="J19" s="51">
        <f t="shared" si="1"/>
      </c>
      <c r="K19" s="52">
        <f>IF(ISERROR(VLOOKUP(J19,'Data sheet'!$B$3:$C$32,2,FALSE)),"",IF(I19="DNF",$I$32,(VLOOKUP(J19,'Data sheet'!$B$3:$C$32,2,FALSE))))</f>
      </c>
      <c r="L19" s="29"/>
      <c r="M19" s="93">
        <f>IF('Data sheet'!L16="","",'Data sheet'!L16)</f>
      </c>
      <c r="N19" s="53">
        <f t="shared" si="3"/>
      </c>
      <c r="O19" s="51">
        <f t="shared" si="4"/>
      </c>
      <c r="P19" s="52">
        <f>IF(O19="","",IF(O19="DNF",$I$32,VLOOKUP(O19,'Data sheet'!$B$3:$C$32,2,FALSE)))</f>
      </c>
      <c r="R19" s="95">
        <f>IF(I19="","",IF(P19=1,M19+'Data sheet'!$G$30,IF(P19=2,M19+'Data sheet'!$G$31,IF(P19=3,M19+'Data sheet'!$G$32,IF(O19="DSQ",M19+'Data sheet'!$G$35,IF(O19="DNS",M19+'Data sheet'!$G$35,IF(O19="DNF",M19+'Data sheet'!$G$34,M19+'Data sheet'!$G$33)))))))</f>
      </c>
      <c r="S19" s="101">
        <f t="shared" si="5"/>
      </c>
      <c r="T19" s="103">
        <f t="shared" si="6"/>
      </c>
      <c r="U19" s="104">
        <f t="shared" si="2"/>
      </c>
      <c r="V19" s="63"/>
      <c r="W19" s="63"/>
      <c r="X19" s="63"/>
      <c r="Y19" s="64"/>
    </row>
    <row r="20" spans="2:25" ht="15">
      <c r="B20" s="36">
        <f>IF('Data sheet'!E17=0,"",'Data sheet'!E17)</f>
      </c>
      <c r="C20" s="38">
        <f>IF('Data sheet'!F17=0,"",'Data sheet'!F17)</f>
      </c>
      <c r="D20" s="11">
        <v>0</v>
      </c>
      <c r="E20" s="10" t="s">
        <v>112</v>
      </c>
      <c r="F20" s="12">
        <v>0</v>
      </c>
      <c r="G20" s="10" t="s">
        <v>112</v>
      </c>
      <c r="H20" s="12">
        <v>0</v>
      </c>
      <c r="I20" s="50">
        <f t="shared" si="0"/>
      </c>
      <c r="J20" s="51">
        <f t="shared" si="1"/>
      </c>
      <c r="K20" s="52">
        <f>IF(ISERROR(VLOOKUP(J20,'Data sheet'!$B$3:$C$32,2,FALSE)),"",IF(I20="DNF",$I$32,(VLOOKUP(J20,'Data sheet'!$B$3:$C$32,2,FALSE))))</f>
      </c>
      <c r="L20" s="29"/>
      <c r="M20" s="93">
        <f>IF('Data sheet'!L17="","",'Data sheet'!L17)</f>
      </c>
      <c r="N20" s="53">
        <f t="shared" si="3"/>
      </c>
      <c r="O20" s="51">
        <f t="shared" si="4"/>
      </c>
      <c r="P20" s="52">
        <f>IF(O20="","",IF(O20="DNF",$I$32,VLOOKUP(O20,'Data sheet'!$B$3:$C$32,2,FALSE)))</f>
      </c>
      <c r="R20" s="95">
        <f>IF(I20="","",IF(P20=1,M20+'Data sheet'!$G$30,IF(P20=2,M20+'Data sheet'!$G$31,IF(P20=3,M20+'Data sheet'!$G$32,IF(O20="DSQ",M20+'Data sheet'!$G$35,IF(O20="DNS",M20+'Data sheet'!$G$35,IF(O20="DNF",M20+'Data sheet'!$G$34,M20+'Data sheet'!$G$33)))))))</f>
      </c>
      <c r="S20" s="101">
        <f t="shared" si="5"/>
      </c>
      <c r="T20" s="103">
        <f t="shared" si="6"/>
      </c>
      <c r="U20" s="104">
        <f t="shared" si="2"/>
      </c>
      <c r="V20" s="63"/>
      <c r="W20" s="63"/>
      <c r="X20" s="63"/>
      <c r="Y20" s="64"/>
    </row>
    <row r="21" spans="2:25" ht="15">
      <c r="B21" s="36">
        <f>IF('Data sheet'!E18=0,"",'Data sheet'!E18)</f>
      </c>
      <c r="C21" s="38">
        <f>IF('Data sheet'!F18=0,"",'Data sheet'!F18)</f>
      </c>
      <c r="D21" s="11">
        <v>0</v>
      </c>
      <c r="E21" s="10" t="s">
        <v>112</v>
      </c>
      <c r="F21" s="12">
        <v>0</v>
      </c>
      <c r="G21" s="10" t="s">
        <v>112</v>
      </c>
      <c r="H21" s="12">
        <v>0</v>
      </c>
      <c r="I21" s="50">
        <f t="shared" si="0"/>
      </c>
      <c r="J21" s="51">
        <f t="shared" si="1"/>
      </c>
      <c r="K21" s="52">
        <f>IF(ISERROR(VLOOKUP(J21,'Data sheet'!$B$3:$C$32,2,FALSE)),"",IF(I21="DNF",$I$32,(VLOOKUP(J21,'Data sheet'!$B$3:$C$32,2,FALSE))))</f>
      </c>
      <c r="L21" s="29"/>
      <c r="M21" s="93">
        <f>IF('Data sheet'!L18="","",'Data sheet'!L18)</f>
      </c>
      <c r="N21" s="53">
        <f t="shared" si="3"/>
      </c>
      <c r="O21" s="51">
        <f t="shared" si="4"/>
      </c>
      <c r="P21" s="52">
        <f>IF(O21="","",IF(O21="DNF",$I$32,VLOOKUP(O21,'Data sheet'!$B$3:$C$32,2,FALSE)))</f>
      </c>
      <c r="R21" s="95">
        <f>IF(I21="","",IF(P21=1,M21+'Data sheet'!$G$30,IF(P21=2,M21+'Data sheet'!$G$31,IF(P21=3,M21+'Data sheet'!$G$32,IF(O21="DSQ",M21+'Data sheet'!$G$35,IF(O21="DNS",M21+'Data sheet'!$G$35,IF(O21="DNF",M21+'Data sheet'!$G$34,M21+'Data sheet'!$G$33)))))))</f>
      </c>
      <c r="S21" s="101">
        <f t="shared" si="5"/>
      </c>
      <c r="T21" s="103">
        <f t="shared" si="6"/>
      </c>
      <c r="U21" s="104">
        <f t="shared" si="2"/>
      </c>
      <c r="V21" s="63"/>
      <c r="W21" s="63"/>
      <c r="X21" s="63"/>
      <c r="Y21" s="64"/>
    </row>
    <row r="22" spans="2:25" ht="15">
      <c r="B22" s="36">
        <f>IF('Data sheet'!E19=0,"",'Data sheet'!E19)</f>
      </c>
      <c r="C22" s="38">
        <f>IF('Data sheet'!F19=0,"",'Data sheet'!F19)</f>
      </c>
      <c r="D22" s="11">
        <v>0</v>
      </c>
      <c r="E22" s="10" t="s">
        <v>112</v>
      </c>
      <c r="F22" s="12">
        <v>0</v>
      </c>
      <c r="G22" s="10" t="s">
        <v>112</v>
      </c>
      <c r="H22" s="12">
        <v>0</v>
      </c>
      <c r="I22" s="50">
        <f t="shared" si="0"/>
      </c>
      <c r="J22" s="51">
        <f t="shared" si="1"/>
      </c>
      <c r="K22" s="52">
        <f>IF(ISERROR(VLOOKUP(J22,'Data sheet'!$B$3:$C$32,2,FALSE)),"",IF(I22="DNF",$I$32,(VLOOKUP(J22,'Data sheet'!$B$3:$C$32,2,FALSE))))</f>
      </c>
      <c r="L22" s="29"/>
      <c r="M22" s="93">
        <f>IF('Data sheet'!L19="","",'Data sheet'!L19)</f>
      </c>
      <c r="N22" s="53">
        <f t="shared" si="3"/>
      </c>
      <c r="O22" s="51">
        <f t="shared" si="4"/>
      </c>
      <c r="P22" s="52">
        <f>IF(O22="","",IF(O22="DNF",$I$32,VLOOKUP(O22,'Data sheet'!$B$3:$C$32,2,FALSE)))</f>
      </c>
      <c r="R22" s="95">
        <f>IF(I22="","",IF(P22=1,M22+'Data sheet'!$G$30,IF(P22=2,M22+'Data sheet'!$G$31,IF(P22=3,M22+'Data sheet'!$G$32,IF(O22="DSQ",M22+'Data sheet'!$G$35,IF(O22="DNS",M22+'Data sheet'!$G$35,IF(O22="DNF",M22+'Data sheet'!$G$34,M22+'Data sheet'!$G$33)))))))</f>
      </c>
      <c r="S22" s="101">
        <f t="shared" si="5"/>
      </c>
      <c r="T22" s="103">
        <f t="shared" si="6"/>
      </c>
      <c r="U22" s="104">
        <f t="shared" si="2"/>
      </c>
      <c r="V22" s="63"/>
      <c r="W22" s="63"/>
      <c r="X22" s="63"/>
      <c r="Y22" s="64"/>
    </row>
    <row r="23" spans="2:25" ht="15">
      <c r="B23" s="36">
        <f>IF('Data sheet'!E20=0,"",'Data sheet'!E20)</f>
      </c>
      <c r="C23" s="38">
        <f>IF('Data sheet'!F20=0,"",'Data sheet'!F20)</f>
      </c>
      <c r="D23" s="11">
        <v>0</v>
      </c>
      <c r="E23" s="10" t="s">
        <v>112</v>
      </c>
      <c r="F23" s="12">
        <v>0</v>
      </c>
      <c r="G23" s="10" t="s">
        <v>112</v>
      </c>
      <c r="H23" s="12">
        <v>0</v>
      </c>
      <c r="I23" s="50">
        <f t="shared" si="0"/>
      </c>
      <c r="J23" s="51">
        <f t="shared" si="1"/>
      </c>
      <c r="K23" s="52">
        <f>IF(ISERROR(VLOOKUP(J23,'Data sheet'!$B$3:$C$32,2,FALSE)),"",IF(I23="DNF",$I$32,(VLOOKUP(J23,'Data sheet'!$B$3:$C$32,2,FALSE))))</f>
      </c>
      <c r="L23" s="29"/>
      <c r="M23" s="93">
        <f>IF('Data sheet'!L20="","",'Data sheet'!L20)</f>
      </c>
      <c r="N23" s="53">
        <f t="shared" si="3"/>
      </c>
      <c r="O23" s="51">
        <f t="shared" si="4"/>
      </c>
      <c r="P23" s="52">
        <f>IF(O23="","",IF(O23="DNF",$I$32,VLOOKUP(O23,'Data sheet'!$B$3:$C$32,2,FALSE)))</f>
      </c>
      <c r="R23" s="95">
        <f>IF(I23="","",IF(P23=1,M23+'Data sheet'!$G$30,IF(P23=2,M23+'Data sheet'!$G$31,IF(P23=3,M23+'Data sheet'!$G$32,IF(O23="DSQ",M23+'Data sheet'!$G$35,IF(O23="DNS",M23+'Data sheet'!$G$35,IF(O23="DNF",M23+'Data sheet'!$G$34,M23+'Data sheet'!$G$33)))))))</f>
      </c>
      <c r="S23" s="101">
        <f t="shared" si="5"/>
      </c>
      <c r="T23" s="103">
        <f t="shared" si="6"/>
      </c>
      <c r="U23" s="104">
        <f t="shared" si="2"/>
      </c>
      <c r="V23" s="63"/>
      <c r="W23" s="63"/>
      <c r="X23" s="63"/>
      <c r="Y23" s="64"/>
    </row>
    <row r="24" spans="2:25" ht="15">
      <c r="B24" s="36">
        <f>IF('Data sheet'!E21=0,"",'Data sheet'!E21)</f>
      </c>
      <c r="C24" s="38">
        <f>IF('Data sheet'!F21=0,"",'Data sheet'!F21)</f>
      </c>
      <c r="D24" s="11">
        <v>0</v>
      </c>
      <c r="E24" s="10" t="s">
        <v>112</v>
      </c>
      <c r="F24" s="12">
        <v>0</v>
      </c>
      <c r="G24" s="10" t="s">
        <v>112</v>
      </c>
      <c r="H24" s="12">
        <v>0</v>
      </c>
      <c r="I24" s="50">
        <f t="shared" si="0"/>
      </c>
      <c r="J24" s="51">
        <f t="shared" si="1"/>
      </c>
      <c r="K24" s="52">
        <f>IF(ISERROR(VLOOKUP(J24,'Data sheet'!$B$3:$C$32,2,FALSE)),"",IF(I24="DNF",$I$32,(VLOOKUP(J24,'Data sheet'!$B$3:$C$32,2,FALSE))))</f>
      </c>
      <c r="L24" s="29"/>
      <c r="M24" s="93">
        <f>IF('Data sheet'!L21="","",'Data sheet'!L21)</f>
      </c>
      <c r="N24" s="53">
        <f t="shared" si="3"/>
      </c>
      <c r="O24" s="51">
        <f t="shared" si="4"/>
      </c>
      <c r="P24" s="52">
        <f>IF(O24="","",IF(O24="DNF",$I$32,VLOOKUP(O24,'Data sheet'!$B$3:$C$32,2,FALSE)))</f>
      </c>
      <c r="R24" s="95">
        <f>IF(I24="","",IF(P24=1,M24+'Data sheet'!$G$30,IF(P24=2,M24+'Data sheet'!$G$31,IF(P24=3,M24+'Data sheet'!$G$32,IF(O24="DSQ",M24+'Data sheet'!$G$35,IF(O24="DNS",M24+'Data sheet'!$G$35,IF(O24="DNF",M24+'Data sheet'!$G$34,M24+'Data sheet'!$G$33)))))))</f>
      </c>
      <c r="S24" s="101">
        <f t="shared" si="5"/>
      </c>
      <c r="T24" s="103">
        <f t="shared" si="6"/>
      </c>
      <c r="U24" s="104">
        <f t="shared" si="2"/>
      </c>
      <c r="V24" s="63"/>
      <c r="W24" s="63"/>
      <c r="X24" s="63"/>
      <c r="Y24" s="64"/>
    </row>
    <row r="25" spans="2:25" ht="15">
      <c r="B25" s="36">
        <f>IF('Data sheet'!E22=0,"",'Data sheet'!E22)</f>
      </c>
      <c r="C25" s="38">
        <f>IF('Data sheet'!F22=0,"",'Data sheet'!F22)</f>
      </c>
      <c r="D25" s="11">
        <v>0</v>
      </c>
      <c r="E25" s="10" t="s">
        <v>112</v>
      </c>
      <c r="F25" s="12">
        <v>0</v>
      </c>
      <c r="G25" s="10" t="s">
        <v>112</v>
      </c>
      <c r="H25" s="12">
        <v>0</v>
      </c>
      <c r="I25" s="50">
        <f t="shared" si="0"/>
      </c>
      <c r="J25" s="51">
        <f t="shared" si="1"/>
      </c>
      <c r="K25" s="52">
        <f>IF(ISERROR(VLOOKUP(J25,'Data sheet'!$B$3:$C$32,2,FALSE)),"",IF(I25="DNF",$I$32,(VLOOKUP(J25,'Data sheet'!$B$3:$C$32,2,FALSE))))</f>
      </c>
      <c r="L25" s="29"/>
      <c r="M25" s="93">
        <f>IF('Data sheet'!L22="","",'Data sheet'!L22)</f>
      </c>
      <c r="N25" s="53">
        <f t="shared" si="3"/>
      </c>
      <c r="O25" s="51">
        <f t="shared" si="4"/>
      </c>
      <c r="P25" s="52">
        <f>IF(O25="","",IF(O25="DNF",$I$32,VLOOKUP(O25,'Data sheet'!$B$3:$C$32,2,FALSE)))</f>
      </c>
      <c r="R25" s="95">
        <f>IF(I25="","",IF(P25=1,M25+'Data sheet'!$G$30,IF(P25=2,M25+'Data sheet'!$G$31,IF(P25=3,M25+'Data sheet'!$G$32,IF(O25="DSQ",M25+'Data sheet'!$G$35,IF(O25="DNS",M25+'Data sheet'!$G$35,IF(O25="DNF",M25+'Data sheet'!$G$34,M25+'Data sheet'!$G$33)))))))</f>
      </c>
      <c r="S25" s="101">
        <f t="shared" si="5"/>
      </c>
      <c r="T25" s="103">
        <f t="shared" si="6"/>
      </c>
      <c r="U25" s="104">
        <f t="shared" si="2"/>
      </c>
      <c r="V25" s="63"/>
      <c r="W25" s="63"/>
      <c r="X25" s="63"/>
      <c r="Y25" s="64"/>
    </row>
    <row r="26" spans="2:25" ht="15">
      <c r="B26" s="36">
        <f>IF('Data sheet'!E23=0,"",'Data sheet'!E23)</f>
      </c>
      <c r="C26" s="38">
        <f>IF('Data sheet'!F23=0,"",'Data sheet'!F23)</f>
      </c>
      <c r="D26" s="11">
        <v>0</v>
      </c>
      <c r="E26" s="10" t="s">
        <v>112</v>
      </c>
      <c r="F26" s="12">
        <v>0</v>
      </c>
      <c r="G26" s="10" t="s">
        <v>112</v>
      </c>
      <c r="H26" s="12">
        <v>0</v>
      </c>
      <c r="I26" s="50">
        <f t="shared" si="0"/>
      </c>
      <c r="J26" s="51">
        <f t="shared" si="1"/>
      </c>
      <c r="K26" s="52">
        <f>IF(ISERROR(VLOOKUP(J26,'Data sheet'!$B$3:$C$32,2,FALSE)),"",IF(I26="DNF",$I$32,(VLOOKUP(J26,'Data sheet'!$B$3:$C$32,2,FALSE))))</f>
      </c>
      <c r="L26" s="29"/>
      <c r="M26" s="93">
        <f>IF('Data sheet'!L23="","",'Data sheet'!L23)</f>
      </c>
      <c r="N26" s="53">
        <f t="shared" si="3"/>
      </c>
      <c r="O26" s="51">
        <f t="shared" si="4"/>
      </c>
      <c r="P26" s="52">
        <f>IF(O26="","",IF(O26="DNF",$I$32,VLOOKUP(O26,'Data sheet'!$B$3:$C$32,2,FALSE)))</f>
      </c>
      <c r="R26" s="95">
        <f>IF(I26="","",IF(P26=1,M26+'Data sheet'!$G$30,IF(P26=2,M26+'Data sheet'!$G$31,IF(P26=3,M26+'Data sheet'!$G$32,IF(O26="DSQ",M26+'Data sheet'!$G$35,IF(O26="DNS",M26+'Data sheet'!$G$35,IF(O26="DNF",M26+'Data sheet'!$G$34,M26+'Data sheet'!$G$33)))))))</f>
      </c>
      <c r="S26" s="101">
        <f t="shared" si="5"/>
      </c>
      <c r="T26" s="103">
        <f t="shared" si="6"/>
      </c>
      <c r="U26" s="104">
        <f t="shared" si="2"/>
      </c>
      <c r="V26" s="63"/>
      <c r="W26" s="63"/>
      <c r="X26" s="63"/>
      <c r="Y26" s="64"/>
    </row>
    <row r="27" spans="2:25" ht="15">
      <c r="B27" s="36">
        <f>IF('Data sheet'!E24=0,"",'Data sheet'!E24)</f>
      </c>
      <c r="C27" s="38">
        <f>IF('Data sheet'!F24=0,"",'Data sheet'!F24)</f>
      </c>
      <c r="D27" s="11">
        <v>0</v>
      </c>
      <c r="E27" s="10" t="s">
        <v>112</v>
      </c>
      <c r="F27" s="12">
        <v>0</v>
      </c>
      <c r="G27" s="10" t="s">
        <v>112</v>
      </c>
      <c r="H27" s="12">
        <v>0</v>
      </c>
      <c r="I27" s="50">
        <f t="shared" si="0"/>
      </c>
      <c r="J27" s="51">
        <f t="shared" si="1"/>
      </c>
      <c r="K27" s="52">
        <f>IF(ISERROR(VLOOKUP(J27,'Data sheet'!$B$3:$C$32,2,FALSE)),"",IF(I27="DNF",$I$32,(VLOOKUP(J27,'Data sheet'!$B$3:$C$32,2,FALSE))))</f>
      </c>
      <c r="L27" s="29"/>
      <c r="M27" s="93">
        <f>IF('Data sheet'!L24="","",'Data sheet'!L24)</f>
      </c>
      <c r="N27" s="53">
        <f t="shared" si="3"/>
      </c>
      <c r="O27" s="51">
        <f t="shared" si="4"/>
      </c>
      <c r="P27" s="52">
        <f>IF(O27="","",IF(O27="DNF",$I$32,VLOOKUP(O27,'Data sheet'!$B$3:$C$32,2,FALSE)))</f>
      </c>
      <c r="R27" s="95">
        <f>IF(I27="","",IF(P27=1,M27+'Data sheet'!$G$30,IF(P27=2,M27+'Data sheet'!$G$31,IF(P27=3,M27+'Data sheet'!$G$32,IF(O27="DSQ",M27+'Data sheet'!$G$35,IF(O27="DNS",M27+'Data sheet'!$G$35,IF(O27="DNF",M27+'Data sheet'!$G$34,M27+'Data sheet'!$G$33)))))))</f>
      </c>
      <c r="S27" s="101">
        <f t="shared" si="5"/>
      </c>
      <c r="T27" s="103">
        <f t="shared" si="6"/>
      </c>
      <c r="U27" s="104">
        <f t="shared" si="2"/>
      </c>
      <c r="V27" s="63"/>
      <c r="W27" s="63"/>
      <c r="X27" s="63"/>
      <c r="Y27" s="64"/>
    </row>
    <row r="28" spans="2:25" ht="15">
      <c r="B28" s="36">
        <f>IF('Data sheet'!E25=0,"",'Data sheet'!E25)</f>
      </c>
      <c r="C28" s="38">
        <f>IF('Data sheet'!F25=0,"",'Data sheet'!F25)</f>
      </c>
      <c r="D28" s="11">
        <v>0</v>
      </c>
      <c r="E28" s="10" t="s">
        <v>112</v>
      </c>
      <c r="F28" s="12">
        <v>0</v>
      </c>
      <c r="G28" s="10" t="s">
        <v>112</v>
      </c>
      <c r="H28" s="12">
        <v>0</v>
      </c>
      <c r="I28" s="50">
        <f t="shared" si="0"/>
      </c>
      <c r="J28" s="51">
        <f t="shared" si="1"/>
      </c>
      <c r="K28" s="52">
        <f>IF(ISERROR(VLOOKUP(J28,'Data sheet'!$B$3:$C$32,2,FALSE)),"",IF(I28="DNF",$I$32,(VLOOKUP(J28,'Data sheet'!$B$3:$C$32,2,FALSE))))</f>
      </c>
      <c r="L28" s="29"/>
      <c r="M28" s="93">
        <f>IF('Data sheet'!L25="","",'Data sheet'!L25)</f>
      </c>
      <c r="N28" s="53">
        <f t="shared" si="3"/>
      </c>
      <c r="O28" s="51">
        <f t="shared" si="4"/>
      </c>
      <c r="P28" s="52">
        <f>IF(O28="","",IF(O28="DNF",$I$32,VLOOKUP(O28,'Data sheet'!$B$3:$C$32,2,FALSE)))</f>
      </c>
      <c r="R28" s="95">
        <f>IF(I28="","",IF(P28=1,M28+'Data sheet'!$G$30,IF(P28=2,M28+'Data sheet'!$G$31,IF(P28=3,M28+'Data sheet'!$G$32,IF(O28="DSQ",M28+'Data sheet'!$G$35,IF(O28="DNS",M28+'Data sheet'!$G$35,IF(O28="DNF",M28+'Data sheet'!$G$34,M28+'Data sheet'!$G$33)))))))</f>
      </c>
      <c r="S28" s="101">
        <f t="shared" si="5"/>
      </c>
      <c r="T28" s="103">
        <f t="shared" si="6"/>
      </c>
      <c r="U28" s="104">
        <f t="shared" si="2"/>
      </c>
      <c r="V28" s="63"/>
      <c r="W28" s="63"/>
      <c r="X28" s="63"/>
      <c r="Y28" s="64"/>
    </row>
    <row r="29" spans="2:25" ht="15">
      <c r="B29" s="36">
        <f>IF('Data sheet'!E26=0,"",'Data sheet'!E26)</f>
      </c>
      <c r="C29" s="38">
        <f>IF('Data sheet'!F26=0,"",'Data sheet'!F26)</f>
      </c>
      <c r="D29" s="11">
        <v>0</v>
      </c>
      <c r="E29" s="10" t="s">
        <v>112</v>
      </c>
      <c r="F29" s="12">
        <v>0</v>
      </c>
      <c r="G29" s="10" t="s">
        <v>112</v>
      </c>
      <c r="H29" s="12">
        <v>0</v>
      </c>
      <c r="I29" s="50">
        <f t="shared" si="0"/>
      </c>
      <c r="J29" s="51">
        <f t="shared" si="1"/>
      </c>
      <c r="K29" s="52">
        <f>IF(ISERROR(VLOOKUP(J29,'Data sheet'!$B$3:$C$32,2,FALSE)),"",IF(I29="DNF",$I$32,(VLOOKUP(J29,'Data sheet'!$B$3:$C$32,2,FALSE))))</f>
      </c>
      <c r="L29" s="29"/>
      <c r="M29" s="93">
        <f>IF('Data sheet'!L26="","",'Data sheet'!L26)</f>
      </c>
      <c r="N29" s="53">
        <f t="shared" si="3"/>
      </c>
      <c r="O29" s="51">
        <f t="shared" si="4"/>
      </c>
      <c r="P29" s="52">
        <f>IF(O29="","",IF(O29="DNF",$I$32,VLOOKUP(O29,'Data sheet'!$B$3:$C$32,2,FALSE)))</f>
      </c>
      <c r="R29" s="95">
        <f>IF(I29="","",IF(P29=1,M29+'Data sheet'!$G$30,IF(P29=2,M29+'Data sheet'!$G$31,IF(P29=3,M29+'Data sheet'!$G$32,IF(O29="DSQ",M29+'Data sheet'!$G$35,IF(O29="DNS",M29+'Data sheet'!$G$35,IF(O29="DNF",M29+'Data sheet'!$G$34,M29+'Data sheet'!$G$33)))))))</f>
      </c>
      <c r="S29" s="101">
        <f t="shared" si="5"/>
      </c>
      <c r="T29" s="103">
        <f t="shared" si="6"/>
      </c>
      <c r="U29" s="104">
        <f t="shared" si="2"/>
      </c>
      <c r="V29" s="63"/>
      <c r="W29" s="63"/>
      <c r="X29" s="63"/>
      <c r="Y29" s="64"/>
    </row>
    <row r="30" spans="2:25" ht="15">
      <c r="B30" s="36">
        <f>IF('Data sheet'!E27=0,"",'Data sheet'!E27)</f>
      </c>
      <c r="C30" s="38">
        <f>IF('Data sheet'!F27=0,"",'Data sheet'!F27)</f>
      </c>
      <c r="D30" s="11">
        <v>0</v>
      </c>
      <c r="E30" s="10" t="s">
        <v>112</v>
      </c>
      <c r="F30" s="12">
        <v>0</v>
      </c>
      <c r="G30" s="10" t="s">
        <v>112</v>
      </c>
      <c r="H30" s="12">
        <v>0</v>
      </c>
      <c r="I30" s="50">
        <f t="shared" si="0"/>
      </c>
      <c r="J30" s="51">
        <f t="shared" si="1"/>
      </c>
      <c r="K30" s="52">
        <f>IF(ISERROR(VLOOKUP(J30,'Data sheet'!$B$3:$C$32,2,FALSE)),"",IF(I30="DNF",$I$32,(VLOOKUP(J30,'Data sheet'!$B$3:$C$32,2,FALSE))))</f>
      </c>
      <c r="L30" s="29"/>
      <c r="M30" s="93">
        <f>IF('Data sheet'!L27="","",'Data sheet'!L27)</f>
      </c>
      <c r="N30" s="53">
        <f t="shared" si="3"/>
      </c>
      <c r="O30" s="51">
        <f t="shared" si="4"/>
      </c>
      <c r="P30" s="52">
        <f>IF(O30="","",IF(O30="DNF",$I$32,VLOOKUP(O30,'Data sheet'!$B$3:$C$32,2,FALSE)))</f>
      </c>
      <c r="R30" s="95">
        <f>IF(I30="","",IF(P30=1,M30+'Data sheet'!$G$30,IF(P30=2,M30+'Data sheet'!$G$31,IF(P30=3,M30+'Data sheet'!$G$32,IF(O30="DSQ",M30+'Data sheet'!$G$35,IF(O30="DNS",M30+'Data sheet'!$G$35,IF(O30="DNF",M30+'Data sheet'!$G$34,M30+'Data sheet'!$G$33)))))))</f>
      </c>
      <c r="S30" s="101">
        <f t="shared" si="5"/>
      </c>
      <c r="T30" s="103">
        <f t="shared" si="6"/>
      </c>
      <c r="U30" s="104">
        <f t="shared" si="2"/>
      </c>
      <c r="V30" s="63"/>
      <c r="W30" s="63"/>
      <c r="X30" s="63"/>
      <c r="Y30" s="64"/>
    </row>
    <row r="31" spans="10:25" ht="4.5" customHeight="1">
      <c r="J31" s="54"/>
      <c r="L31" s="55"/>
      <c r="M31" s="67" t="s">
        <v>136</v>
      </c>
      <c r="N31" s="67" t="s">
        <v>137</v>
      </c>
      <c r="O31" s="67" t="s">
        <v>81</v>
      </c>
      <c r="P31" s="68" t="s">
        <v>140</v>
      </c>
      <c r="V31" s="63"/>
      <c r="W31" s="63"/>
      <c r="X31" s="63"/>
      <c r="Y31" s="64"/>
    </row>
    <row r="32" spans="3:23" ht="12">
      <c r="C32" s="56"/>
      <c r="D32" s="57"/>
      <c r="E32" s="57"/>
      <c r="F32" s="57"/>
      <c r="G32" s="57"/>
      <c r="H32" s="106" t="s">
        <v>153</v>
      </c>
      <c r="I32" s="59">
        <f>COUNTIF(I6:I30,"&gt;0")+COUNTIF(I6:I30,"DNF")+COUNTIF(I6:I30,"DSQ")+1</f>
        <v>10</v>
      </c>
      <c r="L32" s="55"/>
      <c r="M32" s="60" t="s">
        <v>65</v>
      </c>
      <c r="N32" s="60" t="s">
        <v>67</v>
      </c>
      <c r="O32" s="60" t="s">
        <v>66</v>
      </c>
      <c r="R32" s="70"/>
      <c r="S32" s="102">
        <f>MIN(S6:S30)</f>
        <v>0.0020833333333333333</v>
      </c>
      <c r="T32" s="102"/>
      <c r="W32" s="62"/>
    </row>
  </sheetData>
  <sheetProtection/>
  <mergeCells count="1">
    <mergeCell ref="J3:K3"/>
  </mergeCells>
  <conditionalFormatting sqref="O6:O30 J6:J31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conditionalFormatting sqref="U6:U30">
    <cfRule type="cellIs" priority="4" dxfId="0" operator="equal" stopIfTrue="1">
      <formula>1</formula>
    </cfRule>
  </conditionalFormatting>
  <dataValidations count="2">
    <dataValidation type="list" allowBlank="1" showDropDown="1" showInputMessage="1" showErrorMessage="1" sqref="I6:I30">
      <formula1>$M$32:$O$32</formula1>
    </dataValidation>
    <dataValidation type="list" allowBlank="1" showInputMessage="1" showErrorMessage="1" sqref="C1 P31">
      <formula1>$M$31:$P$31</formula1>
    </dataValidation>
  </dataValidations>
  <printOptions/>
  <pageMargins left="0.22" right="0.22" top="0.37" bottom="0.22" header="0.18" footer="0.17"/>
  <pageSetup fitToHeight="1" fitToWidth="1" horizontalDpi="600" verticalDpi="600" orientation="landscape" paperSize="9"/>
  <headerFooter alignWithMargins="0"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VS Sailing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VS Scoring - Minutes handicap</dc:title>
  <dc:subject/>
  <dc:creator>John Hodda</dc:creator>
  <cp:keywords/>
  <dc:description/>
  <cp:lastModifiedBy>John Hodda</cp:lastModifiedBy>
  <cp:lastPrinted>2018-01-11T21:48:56Z</cp:lastPrinted>
  <dcterms:created xsi:type="dcterms:W3CDTF">2001-12-29T22:25:40Z</dcterms:created>
  <dcterms:modified xsi:type="dcterms:W3CDTF">2018-01-14T10:15:31Z</dcterms:modified>
  <cp:category/>
  <cp:version/>
  <cp:contentType/>
  <cp:contentStatus/>
</cp:coreProperties>
</file>